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tlandsman\Documents\"/>
    </mc:Choice>
  </mc:AlternateContent>
  <bookViews>
    <workbookView xWindow="0" yWindow="0" windowWidth="15330" windowHeight="8280" activeTab="1"/>
  </bookViews>
  <sheets>
    <sheet name="About" sheetId="3" r:id="rId1"/>
    <sheet name="Contests" sheetId="1" r:id="rId2"/>
    <sheet name="Candidates" sheetId="5" r:id="rId3"/>
    <sheet name="Variables" sheetId="2" r:id="rId4"/>
    <sheet name="Sources" sheetId="6" r:id="rId5"/>
  </sheets>
  <definedNames>
    <definedName name="_xlnm._FilterDatabase" localSheetId="2" hidden="1">Candidates!$A$1:$U$1731</definedName>
    <definedName name="_xlnm._FilterDatabase" localSheetId="1" hidden="1">Contests!$A$4:$DZ$497</definedName>
    <definedName name="Z_6094A005_24DC_49A4_B578_0723EAB6A929_.wvu.FilterData" localSheetId="1" hidden="1">Contests!$A$4:$DZ$474</definedName>
    <definedName name="Z_67B9C401_7108_477F_9706_029D4DBE6AC8_.wvu.FilterData" localSheetId="1" hidden="1">Contests!$A$4:$DZ$473</definedName>
    <definedName name="Z_77ADE2E8_CCBB_4F99_A4F0_B282CA45F00B_.wvu.FilterData" localSheetId="1" hidden="1">Contests!$A$4:$DZ$473</definedName>
    <definedName name="Z_97F96FCD_F19A_48DF_8C23_B7E50D615861_.wvu.FilterData" localSheetId="1" hidden="1">Contests!$A$4:$DZ$473</definedName>
    <definedName name="Z_A9B8FD34_F8DC_4D6F_BC51_1755606BFB20_.wvu.FilterData" localSheetId="1" hidden="1">Contests!$A$4:$DZ$474</definedName>
    <definedName name="Z_D8951DEB_B32B_42EA_9BCF_73D58A896691_.wvu.FilterData" localSheetId="1" hidden="1">Contests!$A$4:$DZ$474</definedName>
  </definedNames>
  <calcPr calcId="152511"/>
  <customWorkbookViews>
    <customWorkbookView name="Haley Smith - Personal View" guid="{D8951DEB-B32B-42EA-9BCF-73D58A896691}" mergeInterval="0" personalView="1" maximized="1" xWindow="-8" yWindow="-8" windowWidth="1696" windowHeight="1026" activeSheetId="1"/>
    <customWorkbookView name="SJohn - Personal View" guid="{97F96FCD-F19A-48DF-8C23-B7E50D615861}" mergeInterval="0" personalView="1" maximized="1" xWindow="-8" yWindow="-8" windowWidth="1936" windowHeight="1056" activeSheetId="1"/>
    <customWorkbookView name="Intern - Personal View" guid="{67B9C401-7108-477F-9706-029D4DBE6AC8}" mergeInterval="0" personalView="1" maximized="1" xWindow="-8" yWindow="-8" windowWidth="1456" windowHeight="876" activeSheetId="1"/>
    <customWorkbookView name="Sarah - Personal View" guid="{6094A005-24DC-49A4-B578-0723EAB6A929}" mergeInterval="0" personalView="1" maximized="1" xWindow="-8" yWindow="-8" windowWidth="1936" windowHeight="1056" activeSheetId="1"/>
  </customWorkbookViews>
</workbook>
</file>

<file path=xl/calcChain.xml><?xml version="1.0" encoding="utf-8"?>
<calcChain xmlns="http://schemas.openxmlformats.org/spreadsheetml/2006/main">
  <c r="AS308" i="1" l="1"/>
  <c r="AS307" i="1"/>
  <c r="AS301" i="1"/>
  <c r="BT484" i="1" l="1"/>
  <c r="BV484" i="1"/>
  <c r="BV409" i="1" l="1"/>
  <c r="BU409" i="1"/>
  <c r="BT409" i="1"/>
  <c r="BV408" i="1"/>
  <c r="BU408" i="1"/>
  <c r="BT408" i="1"/>
  <c r="BV407" i="1"/>
  <c r="BU407" i="1"/>
  <c r="BT407" i="1"/>
  <c r="CG317" i="1"/>
  <c r="BV173" i="1" l="1"/>
  <c r="BU173" i="1"/>
  <c r="BT173" i="1"/>
  <c r="BV172" i="1"/>
  <c r="BU172" i="1"/>
  <c r="BT172" i="1"/>
  <c r="BV171" i="1"/>
  <c r="BU171" i="1"/>
  <c r="BT171" i="1"/>
  <c r="BV170" i="1"/>
  <c r="BU170" i="1"/>
  <c r="BT170" i="1"/>
  <c r="BV169" i="1"/>
  <c r="BU169" i="1"/>
  <c r="BT169" i="1"/>
  <c r="BV168" i="1"/>
  <c r="BU168" i="1"/>
  <c r="BT168" i="1"/>
  <c r="BV167" i="1"/>
  <c r="BU167" i="1"/>
  <c r="BT167" i="1"/>
  <c r="BV166" i="1"/>
  <c r="BU166" i="1"/>
  <c r="BT166" i="1"/>
  <c r="BV165" i="1"/>
  <c r="BU165" i="1"/>
  <c r="BT165" i="1"/>
  <c r="BV89" i="1"/>
  <c r="BU89" i="1"/>
  <c r="BT89" i="1"/>
  <c r="BV88" i="1"/>
  <c r="BU88" i="1"/>
  <c r="BT88" i="1"/>
  <c r="BV87" i="1"/>
  <c r="BU87" i="1"/>
  <c r="BT87" i="1"/>
  <c r="BV86" i="1"/>
  <c r="BU86" i="1"/>
  <c r="BT86" i="1"/>
  <c r="BV90" i="1"/>
  <c r="BU90" i="1"/>
  <c r="BT90" i="1"/>
  <c r="BV319" i="1" l="1"/>
  <c r="BU319" i="1"/>
  <c r="BT319" i="1"/>
  <c r="BV318" i="1" l="1"/>
  <c r="BU318" i="1"/>
  <c r="BT318" i="1"/>
  <c r="BT317" i="1"/>
  <c r="BV317" i="1"/>
  <c r="BU317" i="1"/>
  <c r="AQ314" i="1"/>
  <c r="CG316" i="1" l="1"/>
  <c r="BT316" i="1"/>
  <c r="BU316" i="1"/>
  <c r="BV316" i="1"/>
  <c r="CG315" i="1"/>
  <c r="BT315" i="1"/>
  <c r="BU315" i="1"/>
  <c r="BV315" i="1"/>
  <c r="CG314" i="1"/>
  <c r="BV314" i="1"/>
  <c r="BU314" i="1"/>
  <c r="BT314" i="1"/>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P1002" i="5"/>
  <c r="P1003" i="5"/>
  <c r="P1004" i="5"/>
  <c r="P1005" i="5"/>
  <c r="P1006" i="5"/>
  <c r="P1007" i="5"/>
  <c r="P1008" i="5"/>
  <c r="P1009" i="5"/>
  <c r="P1010" i="5"/>
  <c r="P1011" i="5"/>
  <c r="P1012" i="5"/>
  <c r="P1013" i="5"/>
  <c r="P1014" i="5"/>
  <c r="P1015" i="5"/>
  <c r="P1016" i="5"/>
  <c r="P1017" i="5"/>
  <c r="P1018" i="5"/>
  <c r="P1019" i="5"/>
  <c r="P1020" i="5"/>
  <c r="P1021" i="5"/>
  <c r="P1022" i="5"/>
  <c r="P1023" i="5"/>
  <c r="P1024" i="5"/>
  <c r="P1025" i="5"/>
  <c r="P1026" i="5"/>
  <c r="P1027" i="5"/>
  <c r="P1028" i="5"/>
  <c r="P1029" i="5"/>
  <c r="P1030" i="5"/>
  <c r="P1031" i="5"/>
  <c r="P1032" i="5"/>
  <c r="P1033" i="5"/>
  <c r="P1034" i="5"/>
  <c r="P1035" i="5"/>
  <c r="P1036" i="5"/>
  <c r="P1037" i="5"/>
  <c r="P1038" i="5"/>
  <c r="P1039" i="5"/>
  <c r="P1040" i="5"/>
  <c r="P1041" i="5"/>
  <c r="P1042" i="5"/>
  <c r="P1043" i="5"/>
  <c r="P1044" i="5"/>
  <c r="P1045" i="5"/>
  <c r="P1046" i="5"/>
  <c r="P1047" i="5"/>
  <c r="P1048" i="5"/>
  <c r="P1049" i="5"/>
  <c r="P1050" i="5"/>
  <c r="P1051" i="5"/>
  <c r="P1052" i="5"/>
  <c r="P1053" i="5"/>
  <c r="P1054" i="5"/>
  <c r="P1055" i="5"/>
  <c r="P1056" i="5"/>
  <c r="P1057" i="5"/>
  <c r="P1058" i="5"/>
  <c r="P1059" i="5"/>
  <c r="P1060" i="5"/>
  <c r="P1061" i="5"/>
  <c r="P1062" i="5"/>
  <c r="P1063" i="5"/>
  <c r="P1064" i="5"/>
  <c r="P1065" i="5"/>
  <c r="P1066" i="5"/>
  <c r="P1067" i="5"/>
  <c r="P1068" i="5"/>
  <c r="P1069" i="5"/>
  <c r="P1070" i="5"/>
  <c r="P1071" i="5"/>
  <c r="P1072" i="5"/>
  <c r="P1073" i="5"/>
  <c r="P1074" i="5"/>
  <c r="P1075" i="5"/>
  <c r="P1076" i="5"/>
  <c r="P1077" i="5"/>
  <c r="P1078" i="5"/>
  <c r="P1079" i="5"/>
  <c r="P1080" i="5"/>
  <c r="P1081" i="5"/>
  <c r="P1082" i="5"/>
  <c r="P1083" i="5"/>
  <c r="P1084" i="5"/>
  <c r="P1085" i="5"/>
  <c r="P1086" i="5"/>
  <c r="P1087" i="5"/>
  <c r="P1088" i="5"/>
  <c r="P1089" i="5"/>
  <c r="P1090" i="5"/>
  <c r="P1091" i="5"/>
  <c r="P1092" i="5"/>
  <c r="P1093" i="5"/>
  <c r="P1094" i="5"/>
  <c r="P1095" i="5"/>
  <c r="P1096" i="5"/>
  <c r="P1097" i="5"/>
  <c r="P1098" i="5"/>
  <c r="P1099" i="5"/>
  <c r="P1100" i="5"/>
  <c r="P1101" i="5"/>
  <c r="P1102" i="5"/>
  <c r="P1103" i="5"/>
  <c r="P1104" i="5"/>
  <c r="P1105" i="5"/>
  <c r="P1106" i="5"/>
  <c r="P1107" i="5"/>
  <c r="P1108" i="5"/>
  <c r="P1109" i="5"/>
  <c r="P1110" i="5"/>
  <c r="P1111" i="5"/>
  <c r="P1112" i="5"/>
  <c r="P1113" i="5"/>
  <c r="P1114" i="5"/>
  <c r="P1115" i="5"/>
  <c r="P1116" i="5"/>
  <c r="P1117" i="5"/>
  <c r="P1118" i="5"/>
  <c r="P1119" i="5"/>
  <c r="P1120" i="5"/>
  <c r="P1121" i="5"/>
  <c r="P1122" i="5"/>
  <c r="P1123" i="5"/>
  <c r="P1124" i="5"/>
  <c r="P1125" i="5"/>
  <c r="P1126" i="5"/>
  <c r="P1127" i="5"/>
  <c r="P1128" i="5"/>
  <c r="P1129" i="5"/>
  <c r="P1130" i="5"/>
  <c r="P1131" i="5"/>
  <c r="P1132" i="5"/>
  <c r="P1133" i="5"/>
  <c r="P1134" i="5"/>
  <c r="P1135" i="5"/>
  <c r="P1136" i="5"/>
  <c r="P1137" i="5"/>
  <c r="P1138" i="5"/>
  <c r="P1139" i="5"/>
  <c r="P1140" i="5"/>
  <c r="P1141" i="5"/>
  <c r="P1142" i="5"/>
  <c r="P1143" i="5"/>
  <c r="P1144" i="5"/>
  <c r="P1145" i="5"/>
  <c r="P1146" i="5"/>
  <c r="P1147" i="5"/>
  <c r="P1148" i="5"/>
  <c r="P1149" i="5"/>
  <c r="P1150" i="5"/>
  <c r="P1151" i="5"/>
  <c r="P1152" i="5"/>
  <c r="P1153" i="5"/>
  <c r="P1154" i="5"/>
  <c r="P1155" i="5"/>
  <c r="P1156" i="5"/>
  <c r="P1157" i="5"/>
  <c r="P1158" i="5"/>
  <c r="P1159" i="5"/>
  <c r="P1160" i="5"/>
  <c r="P1161" i="5"/>
  <c r="P1162" i="5"/>
  <c r="P1163" i="5"/>
  <c r="P1164" i="5"/>
  <c r="P1165" i="5"/>
  <c r="P1166" i="5"/>
  <c r="P1167" i="5"/>
  <c r="P1168" i="5"/>
  <c r="P1169" i="5"/>
  <c r="P1170" i="5"/>
  <c r="P1171" i="5"/>
  <c r="P1172" i="5"/>
  <c r="P1173" i="5"/>
  <c r="P1174" i="5"/>
  <c r="P1175" i="5"/>
  <c r="P1176" i="5"/>
  <c r="P1177" i="5"/>
  <c r="P1178" i="5"/>
  <c r="P1179" i="5"/>
  <c r="P1180" i="5"/>
  <c r="P1181" i="5"/>
  <c r="P1182" i="5"/>
  <c r="P1183" i="5"/>
  <c r="P1184" i="5"/>
  <c r="P1185" i="5"/>
  <c r="P1186" i="5"/>
  <c r="P1187" i="5"/>
  <c r="P1188" i="5"/>
  <c r="P1189" i="5"/>
  <c r="P1190" i="5"/>
  <c r="P1191" i="5"/>
  <c r="P1192" i="5"/>
  <c r="P1193" i="5"/>
  <c r="P1194" i="5"/>
  <c r="P1195" i="5"/>
  <c r="P1196" i="5"/>
  <c r="P1197" i="5"/>
  <c r="P1198" i="5"/>
  <c r="P1199" i="5"/>
  <c r="P1200" i="5"/>
  <c r="P1201" i="5"/>
  <c r="P1202" i="5"/>
  <c r="P1203" i="5"/>
  <c r="P1204" i="5"/>
  <c r="P1205" i="5"/>
  <c r="P1206" i="5"/>
  <c r="P1207" i="5"/>
  <c r="P1208" i="5"/>
  <c r="P1209" i="5"/>
  <c r="P1210" i="5"/>
  <c r="P1211" i="5"/>
  <c r="P1212" i="5"/>
  <c r="P1213" i="5"/>
  <c r="P1214" i="5"/>
  <c r="P1215" i="5"/>
  <c r="P1216" i="5"/>
  <c r="P1217" i="5"/>
  <c r="P1218" i="5"/>
  <c r="P1219" i="5"/>
  <c r="P1220" i="5"/>
  <c r="P1221" i="5"/>
  <c r="P1222" i="5"/>
  <c r="P1223" i="5"/>
  <c r="P1224" i="5"/>
  <c r="P1225" i="5"/>
  <c r="P1226" i="5"/>
  <c r="P1227" i="5"/>
  <c r="P1228" i="5"/>
  <c r="P1229" i="5"/>
  <c r="P1230" i="5"/>
  <c r="P1231" i="5"/>
  <c r="P1232" i="5"/>
  <c r="P1233" i="5"/>
  <c r="P1234" i="5"/>
  <c r="P1235" i="5"/>
  <c r="P1236" i="5"/>
  <c r="P1237" i="5"/>
  <c r="P1238" i="5"/>
  <c r="P1239" i="5"/>
  <c r="P1240" i="5"/>
  <c r="P1241" i="5"/>
  <c r="P1242" i="5"/>
  <c r="P1243" i="5"/>
  <c r="P1244" i="5"/>
  <c r="P1245" i="5"/>
  <c r="P1246" i="5"/>
  <c r="P1247" i="5"/>
  <c r="P1248" i="5"/>
  <c r="P1249" i="5"/>
  <c r="P1250" i="5"/>
  <c r="P1251" i="5"/>
  <c r="P1252" i="5"/>
  <c r="P1253" i="5"/>
  <c r="P1254" i="5"/>
  <c r="P1255" i="5"/>
  <c r="P1256" i="5"/>
  <c r="P1257" i="5"/>
  <c r="P1258" i="5"/>
  <c r="P1259" i="5"/>
  <c r="P1260" i="5"/>
  <c r="P1261" i="5"/>
  <c r="P1262" i="5"/>
  <c r="P1263" i="5"/>
  <c r="P1264" i="5"/>
  <c r="P1265" i="5"/>
  <c r="P1266" i="5"/>
  <c r="P1267" i="5"/>
  <c r="P1268" i="5"/>
  <c r="P1269" i="5"/>
  <c r="P1270" i="5"/>
  <c r="P1271" i="5"/>
  <c r="P1272" i="5"/>
  <c r="P1273" i="5"/>
  <c r="P1274" i="5"/>
  <c r="P1275" i="5"/>
  <c r="P1276" i="5"/>
  <c r="P1277" i="5"/>
  <c r="P1278" i="5"/>
  <c r="P1279" i="5"/>
  <c r="P1280" i="5"/>
  <c r="P1281" i="5"/>
  <c r="P1282" i="5"/>
  <c r="P1283" i="5"/>
  <c r="P1284" i="5"/>
  <c r="P1285" i="5"/>
  <c r="P1286" i="5"/>
  <c r="P1287" i="5"/>
  <c r="P1288" i="5"/>
  <c r="P1289" i="5"/>
  <c r="P1290" i="5"/>
  <c r="P1291" i="5"/>
  <c r="P1292" i="5"/>
  <c r="P1293" i="5"/>
  <c r="P1294" i="5"/>
  <c r="P1295" i="5"/>
  <c r="P1296" i="5"/>
  <c r="P1297" i="5"/>
  <c r="P1298" i="5"/>
  <c r="P1299" i="5"/>
  <c r="P1300" i="5"/>
  <c r="P1301" i="5"/>
  <c r="P1302" i="5"/>
  <c r="P1303" i="5"/>
  <c r="P1304" i="5"/>
  <c r="P1305" i="5"/>
  <c r="P1306" i="5"/>
  <c r="P1307" i="5"/>
  <c r="P1308" i="5"/>
  <c r="P1309" i="5"/>
  <c r="P1310" i="5"/>
  <c r="P1311" i="5"/>
  <c r="P1312" i="5"/>
  <c r="P1313" i="5"/>
  <c r="P1314" i="5"/>
  <c r="P1315" i="5"/>
  <c r="P1316" i="5"/>
  <c r="P1317" i="5"/>
  <c r="P1318" i="5"/>
  <c r="P1319" i="5"/>
  <c r="P1320" i="5"/>
  <c r="P1321" i="5"/>
  <c r="P1322" i="5"/>
  <c r="P1323" i="5"/>
  <c r="P1324" i="5"/>
  <c r="P1325" i="5"/>
  <c r="P1326" i="5"/>
  <c r="P1327" i="5"/>
  <c r="P1328" i="5"/>
  <c r="P1329" i="5"/>
  <c r="P1330" i="5"/>
  <c r="P1331" i="5"/>
  <c r="P1332" i="5"/>
  <c r="P1333" i="5"/>
  <c r="P1334" i="5"/>
  <c r="P1335" i="5"/>
  <c r="P1336" i="5"/>
  <c r="P1337" i="5"/>
  <c r="P1338" i="5"/>
  <c r="P1339" i="5"/>
  <c r="P1340" i="5"/>
  <c r="P1341" i="5"/>
  <c r="P1342" i="5"/>
  <c r="P1343" i="5"/>
  <c r="P1344" i="5"/>
  <c r="P1345" i="5"/>
  <c r="P1346" i="5"/>
  <c r="P1347" i="5"/>
  <c r="P1348" i="5"/>
  <c r="P1349" i="5"/>
  <c r="P1350" i="5"/>
  <c r="P1351" i="5"/>
  <c r="P1352" i="5"/>
  <c r="P1353" i="5"/>
  <c r="P1354" i="5"/>
  <c r="P1355" i="5"/>
  <c r="P1356" i="5"/>
  <c r="P1357" i="5"/>
  <c r="P1358" i="5"/>
  <c r="P1359" i="5"/>
  <c r="P1360" i="5"/>
  <c r="P1361" i="5"/>
  <c r="P1362" i="5"/>
  <c r="P1363" i="5"/>
  <c r="P1364" i="5"/>
  <c r="P1365" i="5"/>
  <c r="P1366" i="5"/>
  <c r="P1367" i="5"/>
  <c r="P1368" i="5"/>
  <c r="P1369" i="5"/>
  <c r="P1370" i="5"/>
  <c r="P1371" i="5"/>
  <c r="P1372" i="5"/>
  <c r="P1373" i="5"/>
  <c r="P1374" i="5"/>
  <c r="P1375" i="5"/>
  <c r="P1376" i="5"/>
  <c r="P1377" i="5"/>
  <c r="P1378" i="5"/>
  <c r="P1379" i="5"/>
  <c r="P1380" i="5"/>
  <c r="P1381" i="5"/>
  <c r="P1382" i="5"/>
  <c r="P1383" i="5"/>
  <c r="P1384" i="5"/>
  <c r="P1385" i="5"/>
  <c r="P1386" i="5"/>
  <c r="P1387" i="5"/>
  <c r="P1388" i="5"/>
  <c r="P1389" i="5"/>
  <c r="P1390" i="5"/>
  <c r="P1391" i="5"/>
  <c r="P1392" i="5"/>
  <c r="P1393" i="5"/>
  <c r="P1394" i="5"/>
  <c r="P1395" i="5"/>
  <c r="P1396" i="5"/>
  <c r="P1397" i="5"/>
  <c r="P1398" i="5"/>
  <c r="P1399" i="5"/>
  <c r="P1400" i="5"/>
  <c r="P1401" i="5"/>
  <c r="P1402" i="5"/>
  <c r="P1403" i="5"/>
  <c r="P1404" i="5"/>
  <c r="P1405" i="5"/>
  <c r="P1406" i="5"/>
  <c r="P1407" i="5"/>
  <c r="P1408" i="5"/>
  <c r="P1409" i="5"/>
  <c r="P1410" i="5"/>
  <c r="P1411" i="5"/>
  <c r="P1412" i="5"/>
  <c r="P1413" i="5"/>
  <c r="P1414" i="5"/>
  <c r="P1415" i="5"/>
  <c r="P1416" i="5"/>
  <c r="P1417" i="5"/>
  <c r="P1418" i="5"/>
  <c r="P1419" i="5"/>
  <c r="P1420" i="5"/>
  <c r="P1421" i="5"/>
  <c r="P1422" i="5"/>
  <c r="P1423" i="5"/>
  <c r="P1424" i="5"/>
  <c r="P1425" i="5"/>
  <c r="P1426" i="5"/>
  <c r="P1427" i="5"/>
  <c r="P1428" i="5"/>
  <c r="P1429" i="5"/>
  <c r="P1430" i="5"/>
  <c r="P1431" i="5"/>
  <c r="P1432" i="5"/>
  <c r="P1433" i="5"/>
  <c r="P1434" i="5"/>
  <c r="P1435" i="5"/>
  <c r="P1436" i="5"/>
  <c r="P1437" i="5"/>
  <c r="P1438" i="5"/>
  <c r="P1439" i="5"/>
  <c r="P1440" i="5"/>
  <c r="P1441" i="5"/>
  <c r="P1442" i="5"/>
  <c r="P1443" i="5"/>
  <c r="P1444" i="5"/>
  <c r="P1445" i="5"/>
  <c r="P1446" i="5"/>
  <c r="P1447" i="5"/>
  <c r="P1448" i="5"/>
  <c r="P1449" i="5"/>
  <c r="P1450" i="5"/>
  <c r="P1451" i="5"/>
  <c r="P1452" i="5"/>
  <c r="P1453" i="5"/>
  <c r="P1454" i="5"/>
  <c r="P1455" i="5"/>
  <c r="P1456" i="5"/>
  <c r="P1457" i="5"/>
  <c r="P1458" i="5"/>
  <c r="P1459" i="5"/>
  <c r="P1460" i="5"/>
  <c r="P1461" i="5"/>
  <c r="P1462" i="5"/>
  <c r="P1463" i="5"/>
  <c r="P1464" i="5"/>
  <c r="P1465" i="5"/>
  <c r="P1466" i="5"/>
  <c r="P1467" i="5"/>
  <c r="P1468" i="5"/>
  <c r="P1469" i="5"/>
  <c r="P1470" i="5"/>
  <c r="P1471" i="5"/>
  <c r="P1472" i="5"/>
  <c r="P1473" i="5"/>
  <c r="P1474" i="5"/>
  <c r="P1475" i="5"/>
  <c r="P1476" i="5"/>
  <c r="P1477" i="5"/>
  <c r="P1478" i="5"/>
  <c r="P1479" i="5"/>
  <c r="P1480" i="5"/>
  <c r="P1481" i="5"/>
  <c r="P1482" i="5"/>
  <c r="P1483" i="5"/>
  <c r="P1484" i="5"/>
  <c r="P1485" i="5"/>
  <c r="P1486" i="5"/>
  <c r="P1487" i="5"/>
  <c r="P1488" i="5"/>
  <c r="P1489" i="5"/>
  <c r="P1490" i="5"/>
  <c r="P1491" i="5"/>
  <c r="P1492" i="5"/>
  <c r="P1493" i="5"/>
  <c r="P1494" i="5"/>
  <c r="P1495" i="5"/>
  <c r="P1496" i="5"/>
  <c r="P1497" i="5"/>
  <c r="P1498" i="5"/>
  <c r="P1499" i="5"/>
  <c r="P1500" i="5"/>
  <c r="P1501" i="5"/>
  <c r="P1502" i="5"/>
  <c r="P1503" i="5"/>
  <c r="P1504" i="5"/>
  <c r="P1505" i="5"/>
  <c r="P1506" i="5"/>
  <c r="P1507" i="5"/>
  <c r="P1508" i="5"/>
  <c r="P1509" i="5"/>
  <c r="P1510" i="5"/>
  <c r="P1511" i="5"/>
  <c r="P1512" i="5"/>
  <c r="P1513" i="5"/>
  <c r="P1514" i="5"/>
  <c r="P1515" i="5"/>
  <c r="P1516" i="5"/>
  <c r="P1517" i="5"/>
  <c r="P1518" i="5"/>
  <c r="P1519" i="5"/>
  <c r="P1520" i="5"/>
  <c r="P1521" i="5"/>
  <c r="P1522" i="5"/>
  <c r="P1523" i="5"/>
  <c r="P1524" i="5"/>
  <c r="P1525" i="5"/>
  <c r="P1526" i="5"/>
  <c r="P1527" i="5"/>
  <c r="P1528" i="5"/>
  <c r="P1529" i="5"/>
  <c r="P1530" i="5"/>
  <c r="P1531" i="5"/>
  <c r="P1532" i="5"/>
  <c r="P1533" i="5"/>
  <c r="P1534" i="5"/>
  <c r="P1535" i="5"/>
  <c r="P1536" i="5"/>
  <c r="P1537" i="5"/>
  <c r="P1538" i="5"/>
  <c r="P1539" i="5"/>
  <c r="P1540" i="5"/>
  <c r="P1541" i="5"/>
  <c r="P1542" i="5"/>
  <c r="P1543" i="5"/>
  <c r="P1544" i="5"/>
  <c r="P1545" i="5"/>
  <c r="P1546" i="5"/>
  <c r="P1547" i="5"/>
  <c r="P1548" i="5"/>
  <c r="P1549" i="5"/>
  <c r="P1550" i="5"/>
  <c r="P1551" i="5"/>
  <c r="P1552" i="5"/>
  <c r="P1553" i="5"/>
  <c r="P1554" i="5"/>
  <c r="P1555" i="5"/>
  <c r="P1556" i="5"/>
  <c r="P1557" i="5"/>
  <c r="P1558" i="5"/>
  <c r="P1559" i="5"/>
  <c r="P1560" i="5"/>
  <c r="P1561" i="5"/>
  <c r="P1562" i="5"/>
  <c r="P1563" i="5"/>
  <c r="P1564" i="5"/>
  <c r="P1565" i="5"/>
  <c r="P1566" i="5"/>
  <c r="P1567" i="5"/>
  <c r="P1568" i="5"/>
  <c r="P1569" i="5"/>
  <c r="P1570" i="5"/>
  <c r="P1571" i="5"/>
  <c r="P1572" i="5"/>
  <c r="P1573" i="5"/>
  <c r="P1574" i="5"/>
  <c r="P1575" i="5"/>
  <c r="P1576" i="5"/>
  <c r="P1577" i="5"/>
  <c r="P1578" i="5"/>
  <c r="P1579" i="5"/>
  <c r="P1580" i="5"/>
  <c r="P1581" i="5"/>
  <c r="P1582" i="5"/>
  <c r="P1583" i="5"/>
  <c r="P1584" i="5"/>
  <c r="P1585" i="5"/>
  <c r="P1586" i="5"/>
  <c r="P1587" i="5"/>
  <c r="P1588" i="5"/>
  <c r="P1589" i="5"/>
  <c r="P1590" i="5"/>
  <c r="P1591" i="5"/>
  <c r="P1592" i="5"/>
  <c r="P1593" i="5"/>
  <c r="P1594" i="5"/>
  <c r="P1595" i="5"/>
  <c r="P1596" i="5"/>
  <c r="P1597" i="5"/>
  <c r="P1598" i="5"/>
  <c r="P1599" i="5"/>
  <c r="P1600" i="5"/>
  <c r="P1601" i="5"/>
  <c r="P1602" i="5"/>
  <c r="P1603" i="5"/>
  <c r="P1604" i="5"/>
  <c r="P1605" i="5"/>
  <c r="P1606" i="5"/>
  <c r="P1607" i="5"/>
  <c r="P1608" i="5"/>
  <c r="P1609" i="5"/>
  <c r="P1610" i="5"/>
  <c r="P1611" i="5"/>
  <c r="P1612" i="5"/>
  <c r="P1613" i="5"/>
  <c r="P1614" i="5"/>
  <c r="P1615" i="5"/>
  <c r="P1616" i="5"/>
  <c r="P1617" i="5"/>
  <c r="P1618" i="5"/>
  <c r="P1619" i="5"/>
  <c r="P1620" i="5"/>
  <c r="P1621" i="5"/>
  <c r="P1622" i="5"/>
  <c r="P1623" i="5"/>
  <c r="P1624" i="5"/>
  <c r="P1625" i="5"/>
  <c r="P1626" i="5"/>
  <c r="P1627" i="5"/>
  <c r="P1628" i="5"/>
  <c r="P1629" i="5"/>
  <c r="P1630" i="5"/>
  <c r="P1631" i="5"/>
  <c r="P1632" i="5"/>
  <c r="P1633" i="5"/>
  <c r="P1634" i="5"/>
  <c r="P1635" i="5"/>
  <c r="P1636" i="5"/>
  <c r="P1637" i="5"/>
  <c r="P1638" i="5"/>
  <c r="P1639" i="5"/>
  <c r="P1640" i="5"/>
  <c r="P1641" i="5"/>
  <c r="P1642" i="5"/>
  <c r="P1643" i="5"/>
  <c r="P1644" i="5"/>
  <c r="P1645" i="5"/>
  <c r="P1646" i="5"/>
  <c r="P1647" i="5"/>
  <c r="P1648" i="5"/>
  <c r="P1649" i="5"/>
  <c r="P1650" i="5"/>
  <c r="P1651" i="5"/>
  <c r="P1652" i="5"/>
  <c r="P1653" i="5"/>
  <c r="P1654" i="5"/>
  <c r="P1655" i="5"/>
  <c r="P1656" i="5"/>
  <c r="P1657" i="5"/>
  <c r="P1658" i="5"/>
  <c r="P1659" i="5"/>
  <c r="P1660" i="5"/>
  <c r="P1661" i="5"/>
  <c r="P1662" i="5"/>
  <c r="P1663" i="5"/>
  <c r="P1664" i="5"/>
  <c r="P1665" i="5"/>
  <c r="P1666" i="5"/>
  <c r="P1667" i="5"/>
  <c r="P1668" i="5"/>
  <c r="P1669" i="5"/>
  <c r="P1670" i="5"/>
  <c r="P1671" i="5"/>
  <c r="P1672" i="5"/>
  <c r="P1673" i="5"/>
  <c r="P1674" i="5"/>
  <c r="P1675" i="5"/>
  <c r="P1676" i="5"/>
  <c r="P1677" i="5"/>
  <c r="P1678" i="5"/>
  <c r="P1679" i="5"/>
  <c r="P1680" i="5"/>
  <c r="P1681" i="5"/>
  <c r="P1682" i="5"/>
  <c r="P1683" i="5"/>
  <c r="P1684" i="5"/>
  <c r="P1685" i="5"/>
  <c r="P1686" i="5"/>
  <c r="P1687" i="5"/>
  <c r="P1688" i="5"/>
  <c r="P1689" i="5"/>
  <c r="P1690" i="5"/>
  <c r="P1691" i="5"/>
  <c r="P1692" i="5"/>
  <c r="P1693" i="5"/>
  <c r="P1694" i="5"/>
  <c r="P1695" i="5"/>
  <c r="P1696" i="5"/>
  <c r="P1697" i="5"/>
  <c r="P1698" i="5"/>
  <c r="P1699" i="5"/>
  <c r="P1700" i="5"/>
  <c r="P1701" i="5"/>
  <c r="P1702" i="5"/>
  <c r="P1703" i="5"/>
  <c r="P1704" i="5"/>
  <c r="P1705" i="5"/>
  <c r="P1706" i="5"/>
  <c r="P1707" i="5"/>
  <c r="P1708" i="5"/>
  <c r="P1709" i="5"/>
  <c r="P1710" i="5"/>
  <c r="P1711" i="5"/>
  <c r="P1712" i="5"/>
  <c r="P1713" i="5"/>
  <c r="P1714" i="5"/>
  <c r="P1715" i="5"/>
  <c r="P1716" i="5"/>
  <c r="P1717" i="5"/>
  <c r="P1718" i="5"/>
  <c r="P1719" i="5"/>
  <c r="P1720" i="5"/>
  <c r="P1721" i="5"/>
  <c r="P1722" i="5"/>
  <c r="P1723" i="5"/>
  <c r="P1724" i="5"/>
  <c r="P1725" i="5"/>
  <c r="P1726" i="5"/>
  <c r="P1727" i="5"/>
  <c r="P1728" i="5"/>
  <c r="P1729" i="5"/>
  <c r="P1730" i="5"/>
  <c r="P2" i="5"/>
  <c r="P1731" i="5"/>
  <c r="J1730" i="5"/>
  <c r="J1729" i="5"/>
  <c r="J1728" i="5"/>
  <c r="J1727" i="5"/>
  <c r="J1726" i="5"/>
  <c r="J1725" i="5"/>
  <c r="J1724" i="5"/>
  <c r="J1723" i="5"/>
  <c r="J1722" i="5"/>
  <c r="J1721" i="5"/>
  <c r="J1720" i="5"/>
  <c r="J1719" i="5"/>
  <c r="J1718" i="5"/>
  <c r="J1717" i="5"/>
  <c r="J1716" i="5"/>
  <c r="J1715" i="5"/>
  <c r="J1714" i="5"/>
  <c r="J1713" i="5"/>
  <c r="J1712" i="5"/>
  <c r="J1711" i="5"/>
  <c r="J1710" i="5"/>
  <c r="J1709" i="5"/>
  <c r="J1708" i="5"/>
  <c r="J1707" i="5"/>
  <c r="J1706" i="5"/>
  <c r="J1705" i="5"/>
  <c r="J1704" i="5"/>
  <c r="J1703" i="5"/>
  <c r="J1702" i="5"/>
  <c r="J1701" i="5"/>
  <c r="J1700" i="5"/>
  <c r="J1699" i="5"/>
  <c r="J1698" i="5"/>
  <c r="J1697" i="5"/>
  <c r="J1696" i="5"/>
  <c r="J1695" i="5"/>
  <c r="J1694" i="5"/>
  <c r="J1693" i="5"/>
  <c r="J1692" i="5"/>
  <c r="J1691" i="5"/>
  <c r="J1690" i="5"/>
  <c r="J1689" i="5"/>
  <c r="J1688" i="5"/>
  <c r="J1687" i="5"/>
  <c r="J1686" i="5"/>
  <c r="J1685" i="5"/>
  <c r="J1684" i="5"/>
  <c r="J1683" i="5"/>
  <c r="J1682" i="5"/>
  <c r="J1681" i="5"/>
  <c r="J1680" i="5"/>
  <c r="J1679" i="5"/>
  <c r="J1678" i="5"/>
  <c r="J1677" i="5"/>
  <c r="J1676" i="5"/>
  <c r="J1675" i="5"/>
  <c r="J1674" i="5"/>
  <c r="J1673" i="5"/>
  <c r="J1672" i="5"/>
  <c r="J1671" i="5"/>
  <c r="J1670" i="5"/>
  <c r="J1669" i="5"/>
  <c r="J1668" i="5"/>
  <c r="J1667" i="5"/>
  <c r="J1666" i="5"/>
  <c r="J1665" i="5"/>
  <c r="J1664" i="5"/>
  <c r="J1663" i="5"/>
  <c r="J1662" i="5"/>
  <c r="J1661" i="5"/>
  <c r="J1660" i="5"/>
  <c r="J1659" i="5"/>
  <c r="J1658" i="5"/>
  <c r="J1657" i="5"/>
  <c r="J1656" i="5"/>
  <c r="J1655" i="5"/>
  <c r="J1654" i="5"/>
  <c r="J1653" i="5"/>
  <c r="J1652" i="5"/>
  <c r="J1651" i="5"/>
  <c r="J1650" i="5"/>
  <c r="J1649" i="5"/>
  <c r="J1648" i="5"/>
  <c r="J1647" i="5"/>
  <c r="J1646" i="5"/>
  <c r="J1645" i="5"/>
  <c r="J1644" i="5"/>
  <c r="J1643" i="5"/>
  <c r="J1642" i="5"/>
  <c r="J1641" i="5"/>
  <c r="J1640" i="5"/>
  <c r="J1639" i="5"/>
  <c r="J1638" i="5"/>
  <c r="J1637" i="5"/>
  <c r="J1636" i="5"/>
  <c r="J1635" i="5"/>
  <c r="J1634" i="5"/>
  <c r="J1633" i="5"/>
  <c r="J1632" i="5"/>
  <c r="J1631" i="5"/>
  <c r="J1630" i="5"/>
  <c r="J1629" i="5"/>
  <c r="J1628" i="5"/>
  <c r="J1627" i="5"/>
  <c r="J1626" i="5"/>
  <c r="J1625" i="5"/>
  <c r="J1624" i="5"/>
  <c r="J1623" i="5"/>
  <c r="J1622" i="5"/>
  <c r="J1621" i="5"/>
  <c r="J1620" i="5"/>
  <c r="J1619" i="5"/>
  <c r="J1618" i="5"/>
  <c r="J1617" i="5"/>
  <c r="J1616" i="5"/>
  <c r="J1615" i="5"/>
  <c r="J1614" i="5"/>
  <c r="J1613" i="5"/>
  <c r="J1612" i="5"/>
  <c r="J1611" i="5"/>
  <c r="J1610" i="5"/>
  <c r="J1609" i="5"/>
  <c r="J1608" i="5"/>
  <c r="J1607" i="5"/>
  <c r="J1606" i="5"/>
  <c r="J1605" i="5"/>
  <c r="J1604" i="5"/>
  <c r="J1603" i="5"/>
  <c r="J1602" i="5"/>
  <c r="J1601" i="5"/>
  <c r="J1600" i="5"/>
  <c r="J1599" i="5"/>
  <c r="J1598" i="5"/>
  <c r="J1597" i="5"/>
  <c r="J1596" i="5"/>
  <c r="J1595" i="5"/>
  <c r="J1594" i="5"/>
  <c r="J1593" i="5"/>
  <c r="J1592" i="5"/>
  <c r="J1591" i="5"/>
  <c r="J1590" i="5"/>
  <c r="J1589" i="5"/>
  <c r="J1588" i="5"/>
  <c r="J1587" i="5"/>
  <c r="J1586" i="5"/>
  <c r="J1585" i="5"/>
  <c r="J1584" i="5"/>
  <c r="J1583" i="5"/>
  <c r="J1582" i="5"/>
  <c r="J1581" i="5"/>
  <c r="J1580" i="5"/>
  <c r="J1579" i="5"/>
  <c r="J1578" i="5"/>
  <c r="J1577" i="5"/>
  <c r="J1576" i="5"/>
  <c r="J1575" i="5"/>
  <c r="J1574" i="5"/>
  <c r="J1573" i="5"/>
  <c r="J1572" i="5"/>
  <c r="J1571" i="5"/>
  <c r="J1570" i="5"/>
  <c r="J1569" i="5"/>
  <c r="J1568" i="5"/>
  <c r="J1567" i="5"/>
  <c r="J1566" i="5"/>
  <c r="J1565" i="5"/>
  <c r="J1564" i="5"/>
  <c r="J1563" i="5"/>
  <c r="J1562" i="5"/>
  <c r="J1561" i="5"/>
  <c r="J1560" i="5"/>
  <c r="J1559" i="5"/>
  <c r="J1558" i="5"/>
  <c r="J1557" i="5"/>
  <c r="J1556" i="5"/>
  <c r="J1555" i="5"/>
  <c r="J1554" i="5"/>
  <c r="J1553" i="5"/>
  <c r="J1552" i="5"/>
  <c r="J1551" i="5"/>
  <c r="J1550" i="5"/>
  <c r="J1549" i="5"/>
  <c r="J1548" i="5"/>
  <c r="J1547" i="5"/>
  <c r="J1546" i="5"/>
  <c r="J1545" i="5"/>
  <c r="J1544" i="5"/>
  <c r="J1543" i="5"/>
  <c r="J1542" i="5"/>
  <c r="J1541" i="5"/>
  <c r="J1540" i="5"/>
  <c r="J1539" i="5"/>
  <c r="J1538" i="5"/>
  <c r="J1537" i="5"/>
  <c r="J1536" i="5"/>
  <c r="J1535" i="5"/>
  <c r="J1534" i="5"/>
  <c r="J1533" i="5"/>
  <c r="J1532" i="5"/>
  <c r="J1531" i="5"/>
  <c r="J1530" i="5"/>
  <c r="J1529" i="5"/>
  <c r="J1528" i="5"/>
  <c r="J1527" i="5"/>
  <c r="J1526" i="5"/>
  <c r="J1525" i="5"/>
  <c r="J1524" i="5"/>
  <c r="J1523" i="5"/>
  <c r="J1522" i="5"/>
  <c r="J1521" i="5"/>
  <c r="J1520" i="5"/>
  <c r="J1519" i="5"/>
  <c r="J1518" i="5"/>
  <c r="J1517" i="5"/>
  <c r="J1516" i="5"/>
  <c r="J1515" i="5"/>
  <c r="J1514" i="5"/>
  <c r="J1513" i="5"/>
  <c r="J1512" i="5"/>
  <c r="J1511" i="5"/>
  <c r="J1510" i="5"/>
  <c r="J1509" i="5"/>
  <c r="J1508" i="5"/>
  <c r="J1507" i="5"/>
  <c r="J1506" i="5"/>
  <c r="J1505" i="5"/>
  <c r="J1504" i="5"/>
  <c r="J1503" i="5"/>
  <c r="J1502" i="5"/>
  <c r="J1501" i="5"/>
  <c r="J1500" i="5"/>
  <c r="J1499" i="5"/>
  <c r="J1498" i="5"/>
  <c r="J1497" i="5"/>
  <c r="J1496" i="5"/>
  <c r="J1495" i="5"/>
  <c r="J1494" i="5"/>
  <c r="J1493" i="5"/>
  <c r="J1492" i="5"/>
  <c r="J1491" i="5"/>
  <c r="J1490" i="5"/>
  <c r="J1489" i="5"/>
  <c r="J1488" i="5"/>
  <c r="J1487" i="5"/>
  <c r="J1486" i="5"/>
  <c r="J1485" i="5"/>
  <c r="J1484" i="5"/>
  <c r="J1483" i="5"/>
  <c r="J1482" i="5"/>
  <c r="J1481" i="5"/>
  <c r="J1480" i="5"/>
  <c r="J1479" i="5"/>
  <c r="J1478" i="5"/>
  <c r="J1477" i="5"/>
  <c r="J1476" i="5"/>
  <c r="J1475" i="5"/>
  <c r="J1474" i="5"/>
  <c r="J1473" i="5"/>
  <c r="J1472" i="5"/>
  <c r="J1471" i="5"/>
  <c r="J1470" i="5"/>
  <c r="J1469" i="5"/>
  <c r="J1468" i="5"/>
  <c r="J1467" i="5"/>
  <c r="J1466" i="5"/>
  <c r="J1465" i="5"/>
  <c r="J1464" i="5"/>
  <c r="J1463" i="5"/>
  <c r="J1462" i="5"/>
  <c r="J1461" i="5"/>
  <c r="J1460" i="5"/>
  <c r="J1459" i="5"/>
  <c r="J1458" i="5"/>
  <c r="J1457" i="5"/>
  <c r="J1456" i="5"/>
  <c r="J1455" i="5"/>
  <c r="J1454" i="5"/>
  <c r="J1453" i="5"/>
  <c r="J1452" i="5"/>
  <c r="J1451" i="5"/>
  <c r="J1450" i="5"/>
  <c r="J1449" i="5"/>
  <c r="J1448" i="5"/>
  <c r="J1447" i="5"/>
  <c r="J1446" i="5"/>
  <c r="J1445" i="5"/>
  <c r="J1444" i="5"/>
  <c r="J1443" i="5"/>
  <c r="J1442" i="5"/>
  <c r="J1441" i="5"/>
  <c r="J1440" i="5"/>
  <c r="J1439" i="5"/>
  <c r="J1438" i="5"/>
  <c r="J1437" i="5"/>
  <c r="J1436" i="5"/>
  <c r="J1435" i="5"/>
  <c r="J1434" i="5"/>
  <c r="J1433" i="5"/>
  <c r="J1432" i="5"/>
  <c r="J1431" i="5"/>
  <c r="J1430" i="5"/>
  <c r="J1429" i="5"/>
  <c r="J1428" i="5"/>
  <c r="J1427" i="5"/>
  <c r="J1426" i="5"/>
  <c r="J1425" i="5"/>
  <c r="J1424" i="5"/>
  <c r="J1423" i="5"/>
  <c r="J1422" i="5"/>
  <c r="J1421" i="5"/>
  <c r="J1420" i="5"/>
  <c r="J1419" i="5"/>
  <c r="J1418" i="5"/>
  <c r="J1417" i="5"/>
  <c r="J1416" i="5"/>
  <c r="J1415" i="5"/>
  <c r="J1414" i="5"/>
  <c r="J1413" i="5"/>
  <c r="J1412" i="5"/>
  <c r="J1411" i="5"/>
  <c r="J1410" i="5"/>
  <c r="J1409" i="5"/>
  <c r="J1408" i="5"/>
  <c r="J1407" i="5"/>
  <c r="J1406" i="5"/>
  <c r="J1405" i="5"/>
  <c r="J1404" i="5"/>
  <c r="J1403" i="5"/>
  <c r="J1402" i="5"/>
  <c r="J1401" i="5"/>
  <c r="J1400" i="5"/>
  <c r="J1399" i="5"/>
  <c r="J1398" i="5"/>
  <c r="J1397" i="5"/>
  <c r="J1396" i="5"/>
  <c r="J1395" i="5"/>
  <c r="J1394" i="5"/>
  <c r="J1393" i="5"/>
  <c r="J1392" i="5"/>
  <c r="J1391" i="5"/>
  <c r="J1390" i="5"/>
  <c r="J1389" i="5"/>
  <c r="J1388" i="5"/>
  <c r="J1387" i="5"/>
  <c r="J1386" i="5"/>
  <c r="J1385" i="5"/>
  <c r="J1384" i="5"/>
  <c r="J1383" i="5"/>
  <c r="J1382" i="5"/>
  <c r="J1381" i="5"/>
  <c r="J1380" i="5"/>
  <c r="J1379" i="5"/>
  <c r="J1378" i="5"/>
  <c r="J1377" i="5"/>
  <c r="J1376" i="5"/>
  <c r="J1375" i="5"/>
  <c r="J1374" i="5"/>
  <c r="J1373" i="5"/>
  <c r="J1372" i="5"/>
  <c r="J1371" i="5"/>
  <c r="J1370" i="5"/>
  <c r="J1369" i="5"/>
  <c r="J1368" i="5"/>
  <c r="J1367" i="5"/>
  <c r="J1366" i="5"/>
  <c r="J1365" i="5"/>
  <c r="J1364" i="5"/>
  <c r="J1363" i="5"/>
  <c r="J1362" i="5"/>
  <c r="J1361" i="5"/>
  <c r="J1360" i="5"/>
  <c r="J1359" i="5"/>
  <c r="J1358" i="5"/>
  <c r="J1357" i="5"/>
  <c r="J1356" i="5"/>
  <c r="J1355" i="5"/>
  <c r="J1354" i="5"/>
  <c r="J1353" i="5"/>
  <c r="J1352" i="5"/>
  <c r="J1351" i="5"/>
  <c r="J1350" i="5"/>
  <c r="J1349" i="5"/>
  <c r="J1348" i="5"/>
  <c r="J1347" i="5"/>
  <c r="J1346" i="5"/>
  <c r="J1345" i="5"/>
  <c r="J1344" i="5"/>
  <c r="J1343" i="5"/>
  <c r="J1342" i="5"/>
  <c r="J1341" i="5"/>
  <c r="J1340" i="5"/>
  <c r="J1339" i="5"/>
  <c r="J1338" i="5"/>
  <c r="J1337" i="5"/>
  <c r="J1336" i="5"/>
  <c r="J1335" i="5"/>
  <c r="J1334" i="5"/>
  <c r="J1333" i="5"/>
  <c r="J1332" i="5"/>
  <c r="J1331" i="5"/>
  <c r="J1330" i="5"/>
  <c r="J1329" i="5"/>
  <c r="J1328" i="5"/>
  <c r="J1327" i="5"/>
  <c r="J1326" i="5"/>
  <c r="J1325" i="5"/>
  <c r="J1324" i="5"/>
  <c r="J1323" i="5"/>
  <c r="J1322" i="5"/>
  <c r="J1321" i="5"/>
  <c r="J1320" i="5"/>
  <c r="J1319" i="5"/>
  <c r="J1318" i="5"/>
  <c r="J1317" i="5"/>
  <c r="J1316" i="5"/>
  <c r="J1315" i="5"/>
  <c r="J1314" i="5"/>
  <c r="J1313" i="5"/>
  <c r="J1312" i="5"/>
  <c r="J1311" i="5"/>
  <c r="J1310" i="5"/>
  <c r="J1309" i="5"/>
  <c r="J1308" i="5"/>
  <c r="J1307" i="5"/>
  <c r="J1306" i="5"/>
  <c r="J1305" i="5"/>
  <c r="J1304" i="5"/>
  <c r="J1303" i="5"/>
  <c r="J1302" i="5"/>
  <c r="J1301" i="5"/>
  <c r="J1300" i="5"/>
  <c r="J1299" i="5"/>
  <c r="J1298" i="5"/>
  <c r="J1297" i="5"/>
  <c r="J1296" i="5"/>
  <c r="J1295" i="5"/>
  <c r="J1294" i="5"/>
  <c r="J1293" i="5"/>
  <c r="J1292" i="5"/>
  <c r="J1291" i="5"/>
  <c r="J1290" i="5"/>
  <c r="J1289" i="5"/>
  <c r="J1288" i="5"/>
  <c r="J1287" i="5"/>
  <c r="J1286" i="5"/>
  <c r="J1285" i="5"/>
  <c r="J1284" i="5"/>
  <c r="J1283" i="5"/>
  <c r="J1282" i="5"/>
  <c r="J1281" i="5"/>
  <c r="J1280" i="5"/>
  <c r="J1279" i="5"/>
  <c r="J1278" i="5"/>
  <c r="J1277" i="5"/>
  <c r="J1276" i="5"/>
  <c r="J1275" i="5"/>
  <c r="J1274" i="5"/>
  <c r="J1273" i="5"/>
  <c r="J1272" i="5"/>
  <c r="J1271" i="5"/>
  <c r="J1270" i="5"/>
  <c r="J1269" i="5"/>
  <c r="J1268" i="5"/>
  <c r="J1267" i="5"/>
  <c r="J1266" i="5"/>
  <c r="J1265" i="5"/>
  <c r="J1264" i="5"/>
  <c r="J1263" i="5"/>
  <c r="J1262" i="5"/>
  <c r="J1261" i="5"/>
  <c r="J1260" i="5"/>
  <c r="J1259" i="5"/>
  <c r="J1258" i="5"/>
  <c r="J1257" i="5"/>
  <c r="J1256" i="5"/>
  <c r="J1255" i="5"/>
  <c r="J1254" i="5"/>
  <c r="J1253" i="5"/>
  <c r="J1252" i="5"/>
  <c r="J1251" i="5"/>
  <c r="J1250" i="5"/>
  <c r="J1249" i="5"/>
  <c r="J1248" i="5"/>
  <c r="J1247" i="5"/>
  <c r="J1246" i="5"/>
  <c r="J1245" i="5"/>
  <c r="J1244" i="5"/>
  <c r="J1243" i="5"/>
  <c r="J1242" i="5"/>
  <c r="J1241" i="5"/>
  <c r="J1240" i="5"/>
  <c r="J1239" i="5"/>
  <c r="J1238" i="5"/>
  <c r="J1237" i="5"/>
  <c r="J1236" i="5"/>
  <c r="J1235" i="5"/>
  <c r="J1234" i="5"/>
  <c r="J1233" i="5"/>
  <c r="J1232" i="5"/>
  <c r="J1231" i="5"/>
  <c r="J1230" i="5"/>
  <c r="J1229" i="5"/>
  <c r="J1228" i="5"/>
  <c r="J1227" i="5"/>
  <c r="J1226" i="5"/>
  <c r="J1225" i="5"/>
  <c r="J1224" i="5"/>
  <c r="J1223" i="5"/>
  <c r="J1222" i="5"/>
  <c r="J1221" i="5"/>
  <c r="J1220" i="5"/>
  <c r="J1219" i="5"/>
  <c r="J1218" i="5"/>
  <c r="J1217" i="5"/>
  <c r="J1216" i="5"/>
  <c r="J1215" i="5"/>
  <c r="J1214" i="5"/>
  <c r="J1213" i="5"/>
  <c r="J1212" i="5"/>
  <c r="J1211" i="5"/>
  <c r="J1210" i="5"/>
  <c r="J1209" i="5"/>
  <c r="J1208" i="5"/>
  <c r="J1207" i="5"/>
  <c r="J1206" i="5"/>
  <c r="J1205" i="5"/>
  <c r="J1204" i="5"/>
  <c r="J1203" i="5"/>
  <c r="J1202" i="5"/>
  <c r="J1201" i="5"/>
  <c r="J1200" i="5"/>
  <c r="J1199" i="5"/>
  <c r="J1198" i="5"/>
  <c r="J1197" i="5"/>
  <c r="J1196" i="5"/>
  <c r="J1195" i="5"/>
  <c r="J1194" i="5"/>
  <c r="J1193" i="5"/>
  <c r="J1192" i="5"/>
  <c r="J1191" i="5"/>
  <c r="J1190" i="5"/>
  <c r="J1189" i="5"/>
  <c r="J1188" i="5"/>
  <c r="J1187" i="5"/>
  <c r="J1186" i="5"/>
  <c r="J1185" i="5"/>
  <c r="J1184" i="5"/>
  <c r="J1183" i="5"/>
  <c r="J1182" i="5"/>
  <c r="J1181" i="5"/>
  <c r="J1180" i="5"/>
  <c r="J1179" i="5"/>
  <c r="J1178" i="5"/>
  <c r="J1177" i="5"/>
  <c r="J1176" i="5"/>
  <c r="J1175" i="5"/>
  <c r="J1174" i="5"/>
  <c r="J1173" i="5"/>
  <c r="J1172" i="5"/>
  <c r="J1171" i="5"/>
  <c r="J1170" i="5"/>
  <c r="J1169" i="5"/>
  <c r="J1168" i="5"/>
  <c r="J1167" i="5"/>
  <c r="J1166" i="5"/>
  <c r="J1165" i="5"/>
  <c r="J1164" i="5"/>
  <c r="J1163" i="5"/>
  <c r="J1162" i="5"/>
  <c r="J1161" i="5"/>
  <c r="J1160" i="5"/>
  <c r="J1159" i="5"/>
  <c r="J1158" i="5"/>
  <c r="J1157" i="5"/>
  <c r="J1156" i="5"/>
  <c r="J1155" i="5"/>
  <c r="J1154" i="5"/>
  <c r="J1153" i="5"/>
  <c r="J1152" i="5"/>
  <c r="J1151" i="5"/>
  <c r="J1150" i="5"/>
  <c r="J1149" i="5"/>
  <c r="J1148" i="5"/>
  <c r="J1147" i="5"/>
  <c r="J1146" i="5"/>
  <c r="J1145" i="5"/>
  <c r="J1144" i="5"/>
  <c r="J1143" i="5"/>
  <c r="J1142" i="5"/>
  <c r="J1141" i="5"/>
  <c r="J1140" i="5"/>
  <c r="J1139" i="5"/>
  <c r="J1138" i="5"/>
  <c r="J1137" i="5"/>
  <c r="J1136" i="5"/>
  <c r="J1135" i="5"/>
  <c r="J1134" i="5"/>
  <c r="J1133" i="5"/>
  <c r="J1132" i="5"/>
  <c r="J1131" i="5"/>
  <c r="J1130" i="5"/>
  <c r="J1129" i="5"/>
  <c r="J1128" i="5"/>
  <c r="J1127" i="5"/>
  <c r="J1126" i="5"/>
  <c r="J1125" i="5"/>
  <c r="J1124" i="5"/>
  <c r="J1123" i="5"/>
  <c r="J1122" i="5"/>
  <c r="J1121" i="5"/>
  <c r="J1120" i="5"/>
  <c r="J1119" i="5"/>
  <c r="J1118" i="5"/>
  <c r="J1117" i="5"/>
  <c r="J1116" i="5"/>
  <c r="J1115" i="5"/>
  <c r="J1114" i="5"/>
  <c r="J1113" i="5"/>
  <c r="J1112" i="5"/>
  <c r="J1111" i="5"/>
  <c r="J1110" i="5"/>
  <c r="J1109" i="5"/>
  <c r="J1108" i="5"/>
  <c r="J1107" i="5"/>
  <c r="J1106" i="5"/>
  <c r="J1105" i="5"/>
  <c r="J1104" i="5"/>
  <c r="J1103" i="5"/>
  <c r="J1102" i="5"/>
  <c r="J1101" i="5"/>
  <c r="J1100" i="5"/>
  <c r="J1099" i="5"/>
  <c r="J1098" i="5"/>
  <c r="J1097" i="5"/>
  <c r="J1096" i="5"/>
  <c r="J1095" i="5"/>
  <c r="J1094" i="5"/>
  <c r="J1093" i="5"/>
  <c r="J1092" i="5"/>
  <c r="J1091" i="5"/>
  <c r="J1090" i="5"/>
  <c r="J1089" i="5"/>
  <c r="J1088" i="5"/>
  <c r="J1087" i="5"/>
  <c r="J1086" i="5"/>
  <c r="J1085" i="5"/>
  <c r="J1084" i="5"/>
  <c r="J1083" i="5"/>
  <c r="J1082" i="5"/>
  <c r="J1081" i="5"/>
  <c r="J1080" i="5"/>
  <c r="J1079" i="5"/>
  <c r="J1078" i="5"/>
  <c r="J1077" i="5"/>
  <c r="J1076" i="5"/>
  <c r="J1075" i="5"/>
  <c r="J1074" i="5"/>
  <c r="J1073" i="5"/>
  <c r="J1072" i="5"/>
  <c r="J1071" i="5"/>
  <c r="J1070" i="5"/>
  <c r="J1069" i="5"/>
  <c r="J1068" i="5"/>
  <c r="J1067" i="5"/>
  <c r="J1066" i="5"/>
  <c r="J1065" i="5"/>
  <c r="J1064" i="5"/>
  <c r="J1063" i="5"/>
  <c r="J1062" i="5"/>
  <c r="J1061" i="5"/>
  <c r="J1060" i="5"/>
  <c r="J1059" i="5"/>
  <c r="J1058" i="5"/>
  <c r="J1057" i="5"/>
  <c r="J1056" i="5"/>
  <c r="J1055" i="5"/>
  <c r="J1054" i="5"/>
  <c r="J1053" i="5"/>
  <c r="J1052" i="5"/>
  <c r="J1051" i="5"/>
  <c r="J1050" i="5"/>
  <c r="J1049" i="5"/>
  <c r="J1048" i="5"/>
  <c r="J1047" i="5"/>
  <c r="J1046" i="5"/>
  <c r="J1045" i="5"/>
  <c r="J1044" i="5"/>
  <c r="J1043" i="5"/>
  <c r="J1042" i="5"/>
  <c r="J1041" i="5"/>
  <c r="J1040" i="5"/>
  <c r="J1039" i="5"/>
  <c r="J1038" i="5"/>
  <c r="J1037" i="5"/>
  <c r="J1036" i="5"/>
  <c r="J1035" i="5"/>
  <c r="J1034" i="5"/>
  <c r="J1033" i="5"/>
  <c r="J1032" i="5"/>
  <c r="J1031" i="5"/>
  <c r="J1030" i="5"/>
  <c r="J1029" i="5"/>
  <c r="J1028" i="5"/>
  <c r="J1027" i="5"/>
  <c r="J1026" i="5"/>
  <c r="J1025" i="5"/>
  <c r="J1024" i="5"/>
  <c r="J1023" i="5"/>
  <c r="J1022" i="5"/>
  <c r="J1021" i="5"/>
  <c r="J1020" i="5"/>
  <c r="J1019" i="5"/>
  <c r="J1018" i="5"/>
  <c r="J1017" i="5"/>
  <c r="J1016" i="5"/>
  <c r="J1015" i="5"/>
  <c r="J1014" i="5"/>
  <c r="J1013" i="5"/>
  <c r="J1012" i="5"/>
  <c r="J1011" i="5"/>
  <c r="J1010" i="5"/>
  <c r="J1009" i="5"/>
  <c r="J1008" i="5"/>
  <c r="J1007" i="5"/>
  <c r="J1006" i="5"/>
  <c r="J1005" i="5"/>
  <c r="J1004" i="5"/>
  <c r="J1003" i="5"/>
  <c r="J1002" i="5"/>
  <c r="J1001" i="5"/>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9" i="5"/>
  <c r="J968" i="5"/>
  <c r="J967" i="5"/>
  <c r="J966" i="5"/>
  <c r="J965" i="5"/>
  <c r="J964" i="5"/>
  <c r="J963" i="5"/>
  <c r="J962"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c r="J900" i="5"/>
  <c r="J899" i="5"/>
  <c r="J898" i="5"/>
  <c r="J897" i="5"/>
  <c r="J896" i="5"/>
  <c r="J895" i="5"/>
  <c r="J894" i="5"/>
  <c r="J893" i="5"/>
  <c r="J892" i="5"/>
  <c r="J891" i="5"/>
  <c r="J890" i="5"/>
  <c r="J889" i="5"/>
  <c r="J888" i="5"/>
  <c r="J887" i="5"/>
  <c r="J886" i="5"/>
  <c r="J885" i="5"/>
  <c r="J884" i="5"/>
  <c r="J883" i="5"/>
  <c r="J882" i="5"/>
  <c r="J881" i="5"/>
  <c r="J880" i="5"/>
  <c r="J879" i="5"/>
  <c r="J878" i="5"/>
  <c r="J877" i="5"/>
  <c r="J876" i="5"/>
  <c r="J875" i="5"/>
  <c r="J874" i="5"/>
  <c r="J873" i="5"/>
  <c r="J872" i="5"/>
  <c r="J871" i="5"/>
  <c r="J870" i="5"/>
  <c r="J869" i="5"/>
  <c r="J868" i="5"/>
  <c r="J867" i="5"/>
  <c r="J866" i="5"/>
  <c r="J865" i="5"/>
  <c r="J864" i="5"/>
  <c r="J863" i="5"/>
  <c r="J862" i="5"/>
  <c r="J861" i="5"/>
  <c r="J860" i="5"/>
  <c r="J859" i="5"/>
  <c r="J858" i="5"/>
  <c r="J857" i="5"/>
  <c r="J856" i="5"/>
  <c r="J855" i="5"/>
  <c r="J854" i="5"/>
  <c r="J853" i="5"/>
  <c r="J852" i="5"/>
  <c r="J851" i="5"/>
  <c r="J850" i="5"/>
  <c r="J849" i="5"/>
  <c r="J848" i="5"/>
  <c r="J847" i="5"/>
  <c r="J846"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AP34" i="1" l="1"/>
  <c r="AQ34" i="1" s="1"/>
  <c r="AP33" i="1"/>
  <c r="AQ33" i="1" s="1"/>
  <c r="AP32" i="1"/>
  <c r="AQ32" i="1" s="1"/>
  <c r="AP36" i="1"/>
  <c r="AQ36" i="1" s="1"/>
  <c r="AP35" i="1"/>
  <c r="AQ35" i="1" s="1"/>
  <c r="AP39" i="1"/>
  <c r="AQ39" i="1" s="1"/>
  <c r="AP38" i="1"/>
  <c r="AQ38" i="1" s="1"/>
  <c r="AP37" i="1"/>
  <c r="AQ37" i="1" s="1"/>
  <c r="AP41" i="1"/>
  <c r="AQ41" i="1" s="1"/>
  <c r="AP40" i="1"/>
  <c r="AQ40" i="1" s="1"/>
  <c r="AP42" i="1"/>
  <c r="AQ42" i="1" s="1"/>
  <c r="AP43" i="1"/>
  <c r="AQ43" i="1" s="1"/>
  <c r="AP44" i="1"/>
  <c r="AQ44" i="1" s="1"/>
  <c r="AP493" i="1" l="1"/>
  <c r="AQ493" i="1" s="1"/>
  <c r="AP492" i="1"/>
  <c r="AQ492" i="1" s="1"/>
  <c r="AP491" i="1"/>
  <c r="AQ491" i="1" s="1"/>
  <c r="AP494" i="1"/>
  <c r="AQ494" i="1" s="1"/>
  <c r="AP497" i="1"/>
  <c r="AQ497" i="1" s="1"/>
  <c r="AP496" i="1"/>
  <c r="AQ496" i="1" s="1"/>
  <c r="AP495" i="1"/>
  <c r="AQ495" i="1" s="1"/>
  <c r="AP457" i="1" l="1"/>
  <c r="AQ457" i="1" s="1"/>
  <c r="AP465" i="1"/>
  <c r="AQ465" i="1" s="1"/>
  <c r="AP463" i="1"/>
  <c r="AQ463" i="1" s="1"/>
  <c r="AP464" i="1"/>
  <c r="AQ464" i="1" s="1"/>
  <c r="AP466" i="1"/>
  <c r="AQ466" i="1" s="1"/>
  <c r="AP469" i="1"/>
  <c r="AQ469" i="1" s="1"/>
  <c r="AP467" i="1"/>
  <c r="AQ467" i="1" s="1"/>
  <c r="AP468" i="1"/>
  <c r="AQ468" i="1" s="1"/>
  <c r="AP417" i="1"/>
  <c r="AQ417" i="1" s="1"/>
  <c r="AP431" i="1"/>
  <c r="AQ431" i="1" s="1"/>
  <c r="AP430" i="1"/>
  <c r="AQ430" i="1" s="1"/>
  <c r="AS269" i="1" l="1"/>
  <c r="AS276" i="1"/>
  <c r="AS275" i="1"/>
  <c r="AS280" i="1" l="1"/>
  <c r="AS279" i="1"/>
  <c r="AS283" i="1"/>
  <c r="AS287" i="1"/>
  <c r="AS281" i="1"/>
  <c r="AS296" i="1"/>
  <c r="AS295" i="1"/>
  <c r="AS292" i="1"/>
  <c r="AS291" i="1"/>
  <c r="AS297" i="1"/>
  <c r="AS299" i="1"/>
  <c r="AS298" i="1"/>
  <c r="AS305" i="1"/>
  <c r="AS304" i="1"/>
  <c r="AS303" i="1" l="1"/>
  <c r="AS302" i="1"/>
  <c r="AS145" i="1"/>
  <c r="AS141" i="1"/>
  <c r="AS144" i="1"/>
  <c r="AS140" i="1"/>
  <c r="AS143" i="1"/>
  <c r="AS139" i="1"/>
  <c r="AS138" i="1"/>
  <c r="AS142" i="1"/>
  <c r="AS163" i="1"/>
  <c r="AS161" i="1"/>
  <c r="AS75" i="1"/>
  <c r="AS74" i="1"/>
  <c r="AS84" i="1"/>
  <c r="AS83" i="1"/>
  <c r="AS81" i="1"/>
  <c r="AS156" i="1" l="1"/>
  <c r="BO233" i="1"/>
  <c r="BO238" i="1"/>
  <c r="BO236" i="1"/>
  <c r="BO387" i="1"/>
  <c r="BO234" i="1"/>
  <c r="BO231" i="1"/>
  <c r="BO229" i="1"/>
  <c r="BO232" i="1"/>
  <c r="BO240" i="1"/>
  <c r="BO235" i="1"/>
  <c r="BO239" i="1"/>
  <c r="BO246" i="1"/>
  <c r="BO244" i="1"/>
  <c r="BO210" i="1"/>
  <c r="BO53" i="1"/>
  <c r="BO209" i="1"/>
  <c r="BO227" i="1"/>
  <c r="BO226" i="1"/>
  <c r="BO249" i="1"/>
  <c r="BO356" i="1"/>
  <c r="BO352" i="1"/>
  <c r="BO320" i="1"/>
  <c r="BO250" i="1"/>
  <c r="DJ312" i="1" l="1"/>
  <c r="DJ309" i="1"/>
  <c r="DJ310" i="1"/>
  <c r="DJ313" i="1"/>
  <c r="DJ308" i="1"/>
  <c r="DJ311" i="1"/>
  <c r="DJ22" i="1"/>
  <c r="DJ23" i="1"/>
  <c r="DJ42" i="1"/>
  <c r="DJ43" i="1"/>
  <c r="DJ44" i="1"/>
  <c r="DJ81" i="1"/>
  <c r="DJ82" i="1"/>
  <c r="DJ83" i="1"/>
  <c r="DJ84" i="1"/>
  <c r="DJ85" i="1"/>
  <c r="DJ156" i="1"/>
  <c r="DJ160" i="1"/>
  <c r="DJ157" i="1"/>
  <c r="DJ161" i="1"/>
  <c r="DJ158" i="1"/>
  <c r="DJ162" i="1"/>
  <c r="DJ159" i="1"/>
  <c r="DJ163" i="1"/>
  <c r="DJ204" i="1"/>
  <c r="DJ205" i="1"/>
  <c r="DJ206" i="1"/>
  <c r="DJ208" i="1"/>
  <c r="DJ207" i="1"/>
  <c r="DJ301" i="1"/>
  <c r="DJ307" i="1"/>
  <c r="DJ302" i="1"/>
  <c r="DJ303" i="1"/>
  <c r="DJ304" i="1"/>
  <c r="DJ305" i="1"/>
  <c r="DJ306" i="1"/>
  <c r="DJ378" i="1"/>
  <c r="DJ373" i="1"/>
  <c r="DJ374" i="1"/>
  <c r="DJ375" i="1"/>
  <c r="DJ376" i="1"/>
  <c r="DJ377" i="1"/>
  <c r="DJ406" i="1"/>
  <c r="DJ403" i="1"/>
  <c r="DJ404" i="1"/>
  <c r="DJ405" i="1"/>
  <c r="DJ441" i="1"/>
  <c r="DJ438" i="1"/>
  <c r="DJ439" i="1"/>
  <c r="DJ440" i="1"/>
  <c r="DJ468" i="1"/>
  <c r="DJ467" i="1"/>
  <c r="DJ469" i="1"/>
  <c r="DJ495" i="1"/>
  <c r="DJ496" i="1"/>
  <c r="DJ497" i="1"/>
  <c r="DJ298" i="1"/>
  <c r="DJ299" i="1"/>
  <c r="DJ297" i="1"/>
  <c r="DJ20" i="1"/>
  <c r="DJ21" i="1"/>
  <c r="DJ40" i="1"/>
  <c r="DJ41" i="1"/>
  <c r="DJ80" i="1"/>
  <c r="DJ76" i="1"/>
  <c r="DJ77" i="1"/>
  <c r="DJ78" i="1"/>
  <c r="DJ79" i="1"/>
  <c r="DJ146" i="1"/>
  <c r="DJ147" i="1"/>
  <c r="DJ148" i="1"/>
  <c r="DJ152" i="1"/>
  <c r="DJ149" i="1"/>
  <c r="DJ153" i="1"/>
  <c r="DJ150" i="1"/>
  <c r="DJ154" i="1"/>
  <c r="DJ151" i="1"/>
  <c r="DJ155" i="1"/>
  <c r="DJ201" i="1"/>
  <c r="DJ202" i="1"/>
  <c r="DJ203" i="1"/>
  <c r="DJ291" i="1"/>
  <c r="DJ292" i="1"/>
  <c r="DJ293" i="1"/>
  <c r="DJ294" i="1"/>
  <c r="DJ295" i="1"/>
  <c r="DJ296" i="1"/>
  <c r="DJ369" i="1"/>
  <c r="DJ370" i="1"/>
  <c r="DJ371" i="1"/>
  <c r="DJ372" i="1"/>
  <c r="DJ368" i="1"/>
  <c r="DJ400" i="1"/>
  <c r="DJ401" i="1"/>
  <c r="DJ402" i="1"/>
  <c r="DJ437" i="1"/>
  <c r="DJ434" i="1"/>
  <c r="DJ435" i="1"/>
  <c r="DJ436" i="1"/>
  <c r="DJ466" i="1"/>
  <c r="DJ464" i="1"/>
  <c r="DJ463" i="1"/>
  <c r="DJ465" i="1"/>
  <c r="DJ494" i="1"/>
  <c r="DJ491" i="1"/>
  <c r="DJ492" i="1"/>
  <c r="DJ493" i="1"/>
  <c r="DJ290" i="1"/>
  <c r="DJ288" i="1"/>
  <c r="DJ289" i="1"/>
  <c r="DJ17" i="1"/>
  <c r="DJ18" i="1"/>
  <c r="DJ19" i="1"/>
  <c r="DJ37" i="1"/>
  <c r="DJ38" i="1"/>
  <c r="DJ39" i="1"/>
  <c r="DJ71" i="1"/>
  <c r="DJ72" i="1"/>
  <c r="DJ73" i="1"/>
  <c r="DJ74" i="1"/>
  <c r="DJ75" i="1"/>
  <c r="DJ142" i="1"/>
  <c r="DJ138" i="1"/>
  <c r="DJ139" i="1"/>
  <c r="DJ143" i="1"/>
  <c r="DJ140" i="1"/>
  <c r="DJ144" i="1"/>
  <c r="DJ141" i="1"/>
  <c r="DJ145" i="1"/>
  <c r="DJ197" i="1"/>
  <c r="DJ198" i="1"/>
  <c r="DJ199" i="1"/>
  <c r="DJ200" i="1"/>
  <c r="DJ281" i="1"/>
  <c r="DJ287" i="1"/>
  <c r="DJ282" i="1"/>
  <c r="DJ283" i="1"/>
  <c r="DJ284" i="1"/>
  <c r="DJ285" i="1"/>
  <c r="DJ286" i="1"/>
  <c r="DJ367" i="1"/>
  <c r="DJ362" i="1"/>
  <c r="DJ363" i="1"/>
  <c r="DJ364" i="1"/>
  <c r="DJ365" i="1"/>
  <c r="DJ366" i="1"/>
  <c r="DJ399" i="1"/>
  <c r="DJ396" i="1"/>
  <c r="DJ397" i="1"/>
  <c r="DJ398" i="1"/>
  <c r="DJ433" i="1"/>
  <c r="DJ430" i="1"/>
  <c r="DJ431" i="1"/>
  <c r="DJ432" i="1"/>
  <c r="DJ460" i="1"/>
  <c r="DJ461" i="1"/>
  <c r="DJ462" i="1"/>
  <c r="DJ488" i="1"/>
  <c r="DJ489" i="1"/>
  <c r="DJ490" i="1"/>
  <c r="DJ279" i="1"/>
  <c r="DJ280" i="1"/>
  <c r="DJ15" i="1"/>
  <c r="DJ16" i="1"/>
  <c r="DJ35" i="1"/>
  <c r="DJ36" i="1"/>
  <c r="DJ70" i="1"/>
  <c r="DJ65" i="1"/>
  <c r="DJ66" i="1"/>
  <c r="DJ67" i="1"/>
  <c r="DJ68" i="1"/>
  <c r="DJ69" i="1"/>
  <c r="DJ129" i="1"/>
  <c r="DJ128" i="1"/>
  <c r="DJ130" i="1"/>
  <c r="DJ134" i="1"/>
  <c r="DJ131" i="1"/>
  <c r="DJ135" i="1"/>
  <c r="DJ132" i="1"/>
  <c r="DJ136" i="1"/>
  <c r="DJ133" i="1"/>
  <c r="DJ137" i="1"/>
  <c r="DJ194" i="1"/>
  <c r="DJ195" i="1"/>
  <c r="DJ196" i="1"/>
  <c r="DJ272" i="1"/>
  <c r="DJ273" i="1"/>
  <c r="DJ274" i="1"/>
  <c r="DJ275" i="1"/>
  <c r="DJ276" i="1"/>
  <c r="DJ277" i="1"/>
  <c r="DJ278" i="1"/>
  <c r="DJ358" i="1"/>
  <c r="DJ359" i="1"/>
  <c r="DJ360" i="1"/>
  <c r="DJ361" i="1"/>
  <c r="DJ357" i="1"/>
  <c r="DJ393" i="1"/>
  <c r="DJ394" i="1"/>
  <c r="DJ395" i="1"/>
  <c r="DJ429" i="1"/>
  <c r="DJ426" i="1"/>
  <c r="DJ427" i="1"/>
  <c r="DJ428" i="1"/>
  <c r="DJ456" i="1"/>
  <c r="DJ459" i="1"/>
  <c r="DJ458" i="1"/>
  <c r="DJ457" i="1"/>
  <c r="DJ487" i="1"/>
  <c r="DJ484" i="1"/>
  <c r="DJ485" i="1"/>
  <c r="DJ486" i="1"/>
  <c r="DJ270" i="1"/>
  <c r="DJ271" i="1"/>
  <c r="DJ269" i="1"/>
  <c r="DJ356" i="1"/>
  <c r="DJ12" i="1"/>
  <c r="DJ13" i="1"/>
  <c r="DJ14" i="1"/>
  <c r="DJ32" i="1"/>
  <c r="DJ33" i="1"/>
  <c r="DJ34" i="1"/>
  <c r="DJ64" i="1"/>
  <c r="DJ59" i="1"/>
  <c r="DJ60" i="1"/>
  <c r="DJ61" i="1"/>
  <c r="DJ62" i="1"/>
  <c r="DJ63" i="1"/>
  <c r="DJ120" i="1"/>
  <c r="DJ124" i="1"/>
  <c r="DJ121" i="1"/>
  <c r="DJ125" i="1"/>
  <c r="DJ122" i="1"/>
  <c r="DJ126" i="1"/>
  <c r="DJ123" i="1"/>
  <c r="DJ127" i="1"/>
  <c r="DJ193" i="1"/>
  <c r="DJ189" i="1"/>
  <c r="DJ190" i="1"/>
  <c r="DJ191" i="1"/>
  <c r="DJ192" i="1"/>
  <c r="DJ262" i="1"/>
  <c r="DJ268" i="1"/>
  <c r="DJ263" i="1"/>
  <c r="DJ264" i="1"/>
  <c r="DJ265" i="1"/>
  <c r="DJ266" i="1"/>
  <c r="DJ267" i="1"/>
  <c r="DJ355" i="1"/>
  <c r="DJ349" i="1"/>
  <c r="DJ350" i="1"/>
  <c r="DJ351" i="1"/>
  <c r="DJ352" i="1"/>
  <c r="DJ353" i="1"/>
  <c r="DJ354" i="1"/>
  <c r="DJ392" i="1"/>
  <c r="DJ389" i="1"/>
  <c r="DJ390" i="1"/>
  <c r="DJ391" i="1"/>
  <c r="DJ425" i="1"/>
  <c r="DJ422" i="1"/>
  <c r="DJ423" i="1"/>
  <c r="DJ424" i="1"/>
  <c r="DJ453" i="1"/>
  <c r="DJ454" i="1"/>
  <c r="DJ455" i="1"/>
  <c r="DJ481" i="1"/>
  <c r="DJ482" i="1"/>
  <c r="DJ483" i="1"/>
  <c r="DJ119" i="1"/>
  <c r="DJ259" i="1"/>
  <c r="DJ261" i="1"/>
  <c r="DJ260" i="1"/>
  <c r="DJ348" i="1"/>
  <c r="DJ10" i="1"/>
  <c r="DJ11" i="1"/>
  <c r="DJ30" i="1"/>
  <c r="DJ31" i="1"/>
  <c r="DJ55" i="1"/>
  <c r="DJ56" i="1"/>
  <c r="DJ57" i="1"/>
  <c r="DJ58" i="1"/>
  <c r="DJ110" i="1"/>
  <c r="DJ109" i="1"/>
  <c r="DJ111" i="1"/>
  <c r="DJ115" i="1"/>
  <c r="DJ112" i="1"/>
  <c r="DJ116" i="1"/>
  <c r="DJ113" i="1"/>
  <c r="DJ117" i="1"/>
  <c r="DJ114" i="1"/>
  <c r="DJ118" i="1"/>
  <c r="DJ184" i="1"/>
  <c r="DJ185" i="1"/>
  <c r="DJ186" i="1"/>
  <c r="DJ187" i="1"/>
  <c r="DJ188" i="1"/>
  <c r="DJ252" i="1"/>
  <c r="DJ253" i="1"/>
  <c r="DJ254" i="1"/>
  <c r="DJ255" i="1"/>
  <c r="DJ256" i="1"/>
  <c r="DJ257" i="1"/>
  <c r="DJ258" i="1"/>
  <c r="DJ344" i="1"/>
  <c r="DJ345" i="1"/>
  <c r="DJ346" i="1"/>
  <c r="DJ347" i="1"/>
  <c r="DJ343" i="1"/>
  <c r="DJ386" i="1"/>
  <c r="DJ387" i="1"/>
  <c r="DJ388" i="1"/>
  <c r="DJ421" i="1"/>
  <c r="DJ418" i="1"/>
  <c r="DJ419" i="1"/>
  <c r="DJ420" i="1"/>
  <c r="DJ449" i="1"/>
  <c r="DJ451" i="1"/>
  <c r="DJ450" i="1"/>
  <c r="DJ452" i="1"/>
  <c r="DJ480" i="1"/>
  <c r="DJ477" i="1"/>
  <c r="DJ478" i="1"/>
  <c r="DJ479" i="1"/>
  <c r="DJ249" i="1"/>
  <c r="DJ250" i="1"/>
  <c r="DJ251" i="1"/>
  <c r="DJ7" i="1"/>
  <c r="DJ8" i="1"/>
  <c r="DJ9" i="1"/>
  <c r="DJ27" i="1"/>
  <c r="DJ28" i="1"/>
  <c r="DJ29" i="1"/>
  <c r="DJ54" i="1"/>
  <c r="DJ49" i="1"/>
  <c r="DJ50" i="1"/>
  <c r="DJ51" i="1"/>
  <c r="DJ52" i="1"/>
  <c r="DJ53" i="1"/>
  <c r="DJ105" i="1"/>
  <c r="DJ101" i="1"/>
  <c r="DJ102" i="1"/>
  <c r="DJ106" i="1"/>
  <c r="DJ103" i="1"/>
  <c r="DJ107" i="1"/>
  <c r="DJ104" i="1"/>
  <c r="DJ108" i="1"/>
  <c r="DJ242" i="1"/>
  <c r="DJ248" i="1"/>
  <c r="DJ243" i="1"/>
  <c r="DJ244" i="1"/>
  <c r="DJ245" i="1"/>
  <c r="DJ246" i="1"/>
  <c r="DJ247" i="1"/>
  <c r="DJ342" i="1"/>
  <c r="DJ337" i="1"/>
  <c r="DJ338" i="1"/>
  <c r="DJ339" i="1"/>
  <c r="DJ340" i="1"/>
  <c r="DJ341" i="1"/>
  <c r="DJ385" i="1"/>
  <c r="DJ382" i="1"/>
  <c r="DJ383" i="1"/>
  <c r="DJ384" i="1"/>
  <c r="DJ417" i="1"/>
  <c r="DJ414" i="1"/>
  <c r="DJ415" i="1"/>
  <c r="DJ416" i="1"/>
  <c r="DJ446" i="1"/>
  <c r="DJ447" i="1"/>
  <c r="DJ448" i="1"/>
  <c r="DJ474" i="1"/>
  <c r="DJ475" i="1"/>
  <c r="DJ476" i="1"/>
  <c r="DJ179" i="1"/>
  <c r="DJ182" i="1"/>
  <c r="DJ180" i="1"/>
  <c r="DJ181" i="1"/>
  <c r="DJ183" i="1"/>
  <c r="DJ240" i="1"/>
  <c r="DJ241" i="1"/>
  <c r="DJ5" i="1"/>
  <c r="DJ6" i="1"/>
  <c r="DJ25" i="1"/>
  <c r="DJ26" i="1"/>
  <c r="DJ45" i="1"/>
  <c r="DJ46" i="1"/>
  <c r="DJ47" i="1"/>
  <c r="DJ48" i="1"/>
  <c r="DJ91" i="1"/>
  <c r="DJ92" i="1"/>
  <c r="DJ93" i="1"/>
  <c r="DJ97" i="1"/>
  <c r="DJ94" i="1"/>
  <c r="DJ98" i="1"/>
  <c r="DJ95" i="1"/>
  <c r="DJ99" i="1"/>
  <c r="DJ96" i="1"/>
  <c r="DJ100" i="1"/>
  <c r="DJ229" i="1"/>
  <c r="DJ230" i="1"/>
  <c r="DJ231" i="1"/>
  <c r="DJ232" i="1"/>
  <c r="DJ233" i="1"/>
  <c r="DJ234" i="1"/>
  <c r="DJ235" i="1"/>
  <c r="DJ236" i="1"/>
  <c r="DJ237" i="1"/>
  <c r="DJ238" i="1"/>
  <c r="DJ239" i="1"/>
  <c r="DJ333" i="1"/>
  <c r="DJ334" i="1"/>
  <c r="DJ335" i="1"/>
  <c r="DJ336" i="1"/>
  <c r="DJ332" i="1"/>
  <c r="DJ379" i="1"/>
  <c r="DJ380" i="1"/>
  <c r="DJ381" i="1"/>
  <c r="DJ413" i="1"/>
  <c r="DJ410" i="1"/>
  <c r="DJ411" i="1"/>
  <c r="DJ412" i="1"/>
  <c r="DJ444" i="1"/>
  <c r="DJ442" i="1"/>
  <c r="DJ443" i="1"/>
  <c r="DJ445" i="1"/>
  <c r="DJ473" i="1"/>
  <c r="DJ470" i="1"/>
  <c r="DJ471" i="1"/>
  <c r="DJ472" i="1"/>
  <c r="DJ174" i="1"/>
  <c r="DJ175" i="1"/>
  <c r="DJ176" i="1"/>
  <c r="DJ177" i="1"/>
  <c r="DJ178" i="1"/>
  <c r="DJ226" i="1"/>
  <c r="DJ227" i="1"/>
  <c r="DJ228" i="1"/>
  <c r="DJ220" i="1"/>
  <c r="DJ221" i="1"/>
  <c r="DJ222" i="1"/>
  <c r="DJ223" i="1"/>
  <c r="DJ224" i="1"/>
  <c r="DJ225" i="1"/>
  <c r="DJ331" i="1"/>
  <c r="DJ326" i="1"/>
  <c r="DJ327" i="1"/>
  <c r="DJ328" i="1"/>
  <c r="DJ329" i="1"/>
  <c r="DJ330" i="1"/>
  <c r="DJ24" i="1"/>
  <c r="CG311" i="1"/>
  <c r="CG308" i="1"/>
  <c r="CG313" i="1"/>
  <c r="CG310" i="1"/>
  <c r="CG309" i="1"/>
  <c r="CG312" i="1"/>
  <c r="BV313" i="1"/>
  <c r="BU313" i="1"/>
  <c r="BT313" i="1"/>
  <c r="BV310" i="1"/>
  <c r="BU310" i="1"/>
  <c r="BT310" i="1"/>
  <c r="BV309" i="1"/>
  <c r="BU309" i="1"/>
  <c r="BT309" i="1"/>
  <c r="BQ53" i="1" l="1"/>
  <c r="BQ387" i="1"/>
  <c r="BQ320" i="1"/>
  <c r="BQ352" i="1"/>
  <c r="BQ356" i="1"/>
  <c r="BQ210" i="1"/>
  <c r="BQ209" i="1"/>
  <c r="BQ227" i="1"/>
  <c r="BQ226" i="1"/>
  <c r="BQ239" i="1"/>
  <c r="BQ238" i="1"/>
  <c r="BQ236" i="1"/>
  <c r="BQ235" i="1"/>
  <c r="BQ234" i="1"/>
  <c r="BQ232" i="1"/>
  <c r="BQ231" i="1"/>
  <c r="BQ229" i="1"/>
  <c r="BQ240" i="1"/>
  <c r="BQ246" i="1"/>
  <c r="BQ244" i="1"/>
  <c r="BQ250" i="1"/>
  <c r="BQ249" i="1"/>
  <c r="BQ233" i="1"/>
  <c r="BP387" i="1"/>
  <c r="BP320" i="1"/>
  <c r="BP352" i="1"/>
  <c r="BP356" i="1"/>
  <c r="BP210" i="1"/>
  <c r="BP209" i="1"/>
  <c r="BP227" i="1"/>
  <c r="BP226" i="1"/>
  <c r="BP239" i="1"/>
  <c r="BP238" i="1"/>
  <c r="BP236" i="1"/>
  <c r="BP235" i="1"/>
  <c r="BP234" i="1"/>
  <c r="BP233" i="1"/>
  <c r="BP232" i="1"/>
  <c r="BP231" i="1"/>
  <c r="BP229" i="1"/>
  <c r="BP240" i="1"/>
  <c r="BP246" i="1"/>
  <c r="BP244" i="1"/>
  <c r="BP250" i="1"/>
  <c r="BP249" i="1"/>
  <c r="BP53" i="1"/>
  <c r="BV311" i="1"/>
  <c r="BU311" i="1"/>
  <c r="BT311" i="1"/>
  <c r="BV308" i="1"/>
  <c r="BU308" i="1"/>
  <c r="BT308" i="1"/>
  <c r="BT312" i="1"/>
  <c r="BU312" i="1"/>
  <c r="BV312" i="1"/>
  <c r="AN308" i="1"/>
  <c r="S308" i="1"/>
  <c r="U308" i="1"/>
  <c r="X308" i="1"/>
  <c r="Y308" i="1"/>
  <c r="AN312" i="1"/>
  <c r="X312" i="1"/>
  <c r="U312" i="1"/>
  <c r="S312" i="1"/>
  <c r="Y312" i="1"/>
  <c r="AN311" i="1"/>
  <c r="X311" i="1"/>
  <c r="U311" i="1"/>
  <c r="S311" i="1"/>
  <c r="Y311" i="1"/>
  <c r="CG24" i="1"/>
  <c r="BT153" i="1"/>
  <c r="BU153" i="1"/>
  <c r="BV153" i="1"/>
  <c r="BT162" i="1"/>
  <c r="BU162" i="1"/>
  <c r="BV162" i="1"/>
  <c r="BZ22" i="1"/>
  <c r="CB24" i="1"/>
  <c r="CG378" i="1"/>
  <c r="CG217" i="1"/>
  <c r="CG225" i="1"/>
  <c r="CG243" i="1"/>
  <c r="CG248" i="1"/>
  <c r="CG242" i="1"/>
  <c r="CG472" i="1"/>
  <c r="CG471" i="1"/>
  <c r="CG470" i="1"/>
  <c r="CG473" i="1"/>
  <c r="CG476" i="1"/>
  <c r="CG475" i="1"/>
  <c r="CG474" i="1"/>
  <c r="CG479" i="1"/>
  <c r="CG478" i="1"/>
  <c r="CG477" i="1"/>
  <c r="CG480" i="1"/>
  <c r="CG483" i="1"/>
  <c r="CG482" i="1"/>
  <c r="CG481" i="1"/>
  <c r="CG486" i="1"/>
  <c r="CG485" i="1"/>
  <c r="CG484" i="1"/>
  <c r="CG487" i="1"/>
  <c r="CG490" i="1"/>
  <c r="CG489" i="1"/>
  <c r="CG488" i="1"/>
  <c r="CG493" i="1"/>
  <c r="CG492" i="1"/>
  <c r="CG491" i="1"/>
  <c r="CG494" i="1"/>
  <c r="CG497" i="1"/>
  <c r="CG496" i="1"/>
  <c r="CG495" i="1"/>
  <c r="CG445" i="1"/>
  <c r="CG443" i="1"/>
  <c r="CG442" i="1"/>
  <c r="CG444" i="1"/>
  <c r="CG448" i="1"/>
  <c r="CG447" i="1"/>
  <c r="CG446" i="1"/>
  <c r="CG452" i="1"/>
  <c r="CG450" i="1"/>
  <c r="CG451" i="1"/>
  <c r="CG449" i="1"/>
  <c r="CG455" i="1"/>
  <c r="CG454" i="1"/>
  <c r="CG453" i="1"/>
  <c r="CG457" i="1"/>
  <c r="CG458" i="1"/>
  <c r="CG459" i="1"/>
  <c r="CG456" i="1"/>
  <c r="CG462" i="1"/>
  <c r="CG461" i="1"/>
  <c r="CG460" i="1"/>
  <c r="CG465" i="1"/>
  <c r="CG463" i="1"/>
  <c r="CG464" i="1"/>
  <c r="CG466" i="1"/>
  <c r="CG469" i="1"/>
  <c r="CG467" i="1"/>
  <c r="CG468" i="1"/>
  <c r="CG412" i="1"/>
  <c r="CG411" i="1"/>
  <c r="CG410" i="1"/>
  <c r="CG413" i="1"/>
  <c r="CG416" i="1"/>
  <c r="CG415" i="1"/>
  <c r="CG414" i="1"/>
  <c r="CG417" i="1"/>
  <c r="CG420" i="1"/>
  <c r="CG419" i="1"/>
  <c r="CG418" i="1"/>
  <c r="CG421" i="1"/>
  <c r="CG424" i="1"/>
  <c r="CG423" i="1"/>
  <c r="CG422" i="1"/>
  <c r="CG425" i="1"/>
  <c r="CG428" i="1"/>
  <c r="CG427" i="1"/>
  <c r="CG426" i="1"/>
  <c r="CG429" i="1"/>
  <c r="CG432" i="1"/>
  <c r="CG431" i="1"/>
  <c r="CG430" i="1"/>
  <c r="CG433" i="1"/>
  <c r="CG436" i="1"/>
  <c r="CG435" i="1"/>
  <c r="CG434" i="1"/>
  <c r="CG437" i="1"/>
  <c r="CG440" i="1"/>
  <c r="CG439" i="1"/>
  <c r="CG438" i="1"/>
  <c r="CG441" i="1"/>
  <c r="CG381" i="1"/>
  <c r="CG380" i="1"/>
  <c r="CG379" i="1"/>
  <c r="CG384" i="1"/>
  <c r="CG383" i="1"/>
  <c r="CG382" i="1"/>
  <c r="CG385" i="1"/>
  <c r="CG388" i="1"/>
  <c r="CG387" i="1"/>
  <c r="CG386" i="1"/>
  <c r="CG391" i="1"/>
  <c r="CG390" i="1"/>
  <c r="CG389" i="1"/>
  <c r="CG392" i="1"/>
  <c r="CG395" i="1"/>
  <c r="CG394" i="1"/>
  <c r="CG393" i="1"/>
  <c r="CG398" i="1"/>
  <c r="CG397" i="1"/>
  <c r="CG396" i="1"/>
  <c r="CG399" i="1"/>
  <c r="CG402" i="1"/>
  <c r="CG401" i="1"/>
  <c r="CG400" i="1"/>
  <c r="CG405" i="1"/>
  <c r="CG404" i="1"/>
  <c r="CG403" i="1"/>
  <c r="CG406" i="1"/>
  <c r="CG320" i="1"/>
  <c r="CG321" i="1"/>
  <c r="CG325" i="1"/>
  <c r="CG324" i="1"/>
  <c r="CG323" i="1"/>
  <c r="CG322" i="1"/>
  <c r="CG330" i="1"/>
  <c r="CG329" i="1"/>
  <c r="CG328" i="1"/>
  <c r="CG327" i="1"/>
  <c r="CG326" i="1"/>
  <c r="CG331" i="1"/>
  <c r="CG332" i="1"/>
  <c r="CG336" i="1"/>
  <c r="CG335" i="1"/>
  <c r="CG334" i="1"/>
  <c r="CG333" i="1"/>
  <c r="CG341" i="1"/>
  <c r="CG340" i="1"/>
  <c r="CG339" i="1"/>
  <c r="CG338" i="1"/>
  <c r="CG337" i="1"/>
  <c r="CG342" i="1"/>
  <c r="CG343" i="1"/>
  <c r="CG347" i="1"/>
  <c r="CG346" i="1"/>
  <c r="CG345" i="1"/>
  <c r="CG344" i="1"/>
  <c r="CG348" i="1"/>
  <c r="CG354" i="1"/>
  <c r="CG353" i="1"/>
  <c r="CG352" i="1"/>
  <c r="CG351" i="1"/>
  <c r="CG350" i="1"/>
  <c r="CG349" i="1"/>
  <c r="CG355" i="1"/>
  <c r="CG356" i="1"/>
  <c r="CG357" i="1"/>
  <c r="CG361" i="1"/>
  <c r="CG360" i="1"/>
  <c r="CG359" i="1"/>
  <c r="CG358" i="1"/>
  <c r="CG366" i="1"/>
  <c r="CG365" i="1"/>
  <c r="CG364" i="1"/>
  <c r="CG363" i="1"/>
  <c r="CG362" i="1"/>
  <c r="CG367" i="1"/>
  <c r="CG368" i="1"/>
  <c r="CG372" i="1"/>
  <c r="CG371" i="1"/>
  <c r="CG370" i="1"/>
  <c r="CG369" i="1"/>
  <c r="CG377" i="1"/>
  <c r="CG376" i="1"/>
  <c r="CG375" i="1"/>
  <c r="CG374" i="1"/>
  <c r="CG373" i="1"/>
  <c r="CG210" i="1"/>
  <c r="CG209" i="1"/>
  <c r="CG216" i="1"/>
  <c r="CG215" i="1"/>
  <c r="CG214" i="1"/>
  <c r="CG213" i="1"/>
  <c r="CG212" i="1"/>
  <c r="CG211" i="1"/>
  <c r="CG218" i="1"/>
  <c r="CG219" i="1"/>
  <c r="CG224" i="1"/>
  <c r="CG223" i="1"/>
  <c r="CG222" i="1"/>
  <c r="CG221" i="1"/>
  <c r="CG220" i="1"/>
  <c r="CG228" i="1"/>
  <c r="CG227" i="1"/>
  <c r="CG226" i="1"/>
  <c r="CG239" i="1"/>
  <c r="CG238" i="1"/>
  <c r="CG237" i="1"/>
  <c r="CG236" i="1"/>
  <c r="CG235" i="1"/>
  <c r="CG234" i="1"/>
  <c r="CG233" i="1"/>
  <c r="CG232" i="1"/>
  <c r="CG231" i="1"/>
  <c r="CG230" i="1"/>
  <c r="CG229" i="1"/>
  <c r="CG241" i="1"/>
  <c r="CG240" i="1"/>
  <c r="CG247" i="1"/>
  <c r="CG246" i="1"/>
  <c r="CG245" i="1"/>
  <c r="CG244" i="1"/>
  <c r="CG251" i="1"/>
  <c r="CG250" i="1"/>
  <c r="CG249" i="1"/>
  <c r="CG258" i="1"/>
  <c r="CG257" i="1"/>
  <c r="CG256" i="1"/>
  <c r="CG255" i="1"/>
  <c r="CG254" i="1"/>
  <c r="CG253" i="1"/>
  <c r="CG252" i="1"/>
  <c r="CG260" i="1"/>
  <c r="CG261" i="1"/>
  <c r="CG259" i="1"/>
  <c r="CG267" i="1"/>
  <c r="CG266" i="1"/>
  <c r="CG265" i="1"/>
  <c r="CG264" i="1"/>
  <c r="CG263" i="1"/>
  <c r="CG268" i="1"/>
  <c r="CG262" i="1"/>
  <c r="CG269" i="1"/>
  <c r="CG271" i="1"/>
  <c r="CG270" i="1"/>
  <c r="CG278" i="1"/>
  <c r="CG277" i="1"/>
  <c r="CG276" i="1"/>
  <c r="CG275" i="1"/>
  <c r="CG274" i="1"/>
  <c r="CG273" i="1"/>
  <c r="CG272" i="1"/>
  <c r="CG280" i="1"/>
  <c r="CG279" i="1"/>
  <c r="CG286" i="1"/>
  <c r="CG285" i="1"/>
  <c r="CG284" i="1"/>
  <c r="CG283" i="1"/>
  <c r="CG282" i="1"/>
  <c r="CG287" i="1"/>
  <c r="CG281" i="1"/>
  <c r="CG289" i="1"/>
  <c r="CG288" i="1"/>
  <c r="CG290" i="1"/>
  <c r="CG296" i="1"/>
  <c r="CG295" i="1"/>
  <c r="CG294" i="1"/>
  <c r="CG293" i="1"/>
  <c r="CG292" i="1"/>
  <c r="CG291" i="1"/>
  <c r="CG297" i="1"/>
  <c r="CG299" i="1"/>
  <c r="CG298" i="1"/>
  <c r="CG306" i="1"/>
  <c r="CG305" i="1"/>
  <c r="CG304" i="1"/>
  <c r="CG303" i="1"/>
  <c r="CG302" i="1"/>
  <c r="CG307" i="1"/>
  <c r="CG301" i="1"/>
  <c r="CG178" i="1"/>
  <c r="CG177" i="1"/>
  <c r="CG176" i="1"/>
  <c r="CG175" i="1"/>
  <c r="CG174" i="1"/>
  <c r="CG183" i="1"/>
  <c r="CG181" i="1"/>
  <c r="CG180" i="1"/>
  <c r="CG182" i="1"/>
  <c r="CG179" i="1"/>
  <c r="CG188" i="1"/>
  <c r="CG187" i="1"/>
  <c r="CG186" i="1"/>
  <c r="CG185" i="1"/>
  <c r="CG184" i="1"/>
  <c r="CG192" i="1"/>
  <c r="CG191" i="1"/>
  <c r="CG190" i="1"/>
  <c r="CG189" i="1"/>
  <c r="CG193" i="1"/>
  <c r="CG196" i="1"/>
  <c r="CG195" i="1"/>
  <c r="CG194" i="1"/>
  <c r="CG200" i="1"/>
  <c r="CG199" i="1"/>
  <c r="CG198" i="1"/>
  <c r="CG197" i="1"/>
  <c r="CG203" i="1"/>
  <c r="CG202" i="1"/>
  <c r="CG201" i="1"/>
  <c r="CG207" i="1"/>
  <c r="CG208" i="1"/>
  <c r="CG206" i="1"/>
  <c r="CG205" i="1"/>
  <c r="CG204" i="1"/>
  <c r="CG100" i="1"/>
  <c r="CG96" i="1"/>
  <c r="CG99" i="1"/>
  <c r="CG95" i="1"/>
  <c r="CG98" i="1"/>
  <c r="CG94" i="1"/>
  <c r="CG97" i="1"/>
  <c r="CG93" i="1"/>
  <c r="CG92" i="1"/>
  <c r="CG91" i="1"/>
  <c r="CG108" i="1"/>
  <c r="CG104" i="1"/>
  <c r="CG107" i="1"/>
  <c r="CG103" i="1"/>
  <c r="CG106" i="1"/>
  <c r="CG102" i="1"/>
  <c r="CG101" i="1"/>
  <c r="CG105" i="1"/>
  <c r="CG118" i="1"/>
  <c r="CG114" i="1"/>
  <c r="CG117" i="1"/>
  <c r="CG113" i="1"/>
  <c r="CG116" i="1"/>
  <c r="CG112" i="1"/>
  <c r="CG115" i="1"/>
  <c r="CG111" i="1"/>
  <c r="CG109" i="1"/>
  <c r="CG110" i="1"/>
  <c r="CG119" i="1"/>
  <c r="CG127" i="1"/>
  <c r="CG123" i="1"/>
  <c r="CG126" i="1"/>
  <c r="CG122" i="1"/>
  <c r="CG125" i="1"/>
  <c r="CG121" i="1"/>
  <c r="CG124" i="1"/>
  <c r="CG120" i="1"/>
  <c r="CG137" i="1"/>
  <c r="CG133" i="1"/>
  <c r="CG136" i="1"/>
  <c r="CG132" i="1"/>
  <c r="CG135" i="1"/>
  <c r="CG131" i="1"/>
  <c r="CG134" i="1"/>
  <c r="CG130" i="1"/>
  <c r="CG128" i="1"/>
  <c r="CG129" i="1"/>
  <c r="CG145" i="1"/>
  <c r="CG141" i="1"/>
  <c r="CG144" i="1"/>
  <c r="CG140" i="1"/>
  <c r="CG143" i="1"/>
  <c r="CG139" i="1"/>
  <c r="CG138" i="1"/>
  <c r="CG142" i="1"/>
  <c r="CG155" i="1"/>
  <c r="CG151" i="1"/>
  <c r="CG154" i="1"/>
  <c r="CG150" i="1"/>
  <c r="CG153" i="1"/>
  <c r="CG149" i="1"/>
  <c r="CG152" i="1"/>
  <c r="CG148" i="1"/>
  <c r="CG147" i="1"/>
  <c r="CG146" i="1"/>
  <c r="CG163" i="1"/>
  <c r="CG159" i="1"/>
  <c r="CG162" i="1"/>
  <c r="CG158" i="1"/>
  <c r="CG161" i="1"/>
  <c r="CG157" i="1"/>
  <c r="CG160" i="1"/>
  <c r="CG156" i="1"/>
  <c r="CG48" i="1"/>
  <c r="CG47" i="1"/>
  <c r="CG46" i="1"/>
  <c r="CG45" i="1"/>
  <c r="CG53" i="1"/>
  <c r="CG52" i="1"/>
  <c r="CG51" i="1"/>
  <c r="CG50" i="1"/>
  <c r="CG49" i="1"/>
  <c r="CG54" i="1"/>
  <c r="CG58" i="1"/>
  <c r="CG57" i="1"/>
  <c r="CG56" i="1"/>
  <c r="CG55" i="1"/>
  <c r="CG63" i="1"/>
  <c r="CG62" i="1"/>
  <c r="CG61" i="1"/>
  <c r="CG60" i="1"/>
  <c r="CG59" i="1"/>
  <c r="CG64" i="1"/>
  <c r="CG69" i="1"/>
  <c r="CG68" i="1"/>
  <c r="CG67" i="1"/>
  <c r="CG66" i="1"/>
  <c r="CG65" i="1"/>
  <c r="CG70" i="1"/>
  <c r="CG75" i="1"/>
  <c r="CG74" i="1"/>
  <c r="CG73" i="1"/>
  <c r="CG72" i="1"/>
  <c r="CG71" i="1"/>
  <c r="CG79" i="1"/>
  <c r="CG78" i="1"/>
  <c r="CG77" i="1"/>
  <c r="CG76" i="1"/>
  <c r="CG80" i="1"/>
  <c r="CG85" i="1"/>
  <c r="CG84" i="1"/>
  <c r="CG83" i="1"/>
  <c r="CG82" i="1"/>
  <c r="CG81" i="1"/>
  <c r="CG26" i="1"/>
  <c r="CG25" i="1"/>
  <c r="CG29" i="1"/>
  <c r="CG28" i="1"/>
  <c r="CG27" i="1"/>
  <c r="CG31" i="1"/>
  <c r="CG30" i="1"/>
  <c r="CG34" i="1"/>
  <c r="CG33" i="1"/>
  <c r="CG32" i="1"/>
  <c r="CG36" i="1"/>
  <c r="CG35" i="1"/>
  <c r="CG39" i="1"/>
  <c r="CG38" i="1"/>
  <c r="CG37" i="1"/>
  <c r="CG41" i="1"/>
  <c r="CG40" i="1"/>
  <c r="CG44" i="1"/>
  <c r="CG43" i="1"/>
  <c r="CG42" i="1"/>
  <c r="CG6" i="1"/>
  <c r="CG5" i="1"/>
  <c r="CG9" i="1"/>
  <c r="CG8" i="1"/>
  <c r="CG7" i="1"/>
  <c r="CG11" i="1"/>
  <c r="CG10" i="1"/>
  <c r="CG14" i="1"/>
  <c r="CG13" i="1"/>
  <c r="CG12" i="1"/>
  <c r="CG16" i="1"/>
  <c r="CG15" i="1"/>
  <c r="CG19" i="1"/>
  <c r="CG18" i="1"/>
  <c r="CG17" i="1"/>
  <c r="CG22" i="1"/>
  <c r="CG23" i="1"/>
  <c r="CG20" i="1"/>
  <c r="CG21" i="1"/>
  <c r="BZ221" i="1"/>
  <c r="BZ222" i="1"/>
  <c r="BZ223" i="1"/>
  <c r="BZ224" i="1"/>
  <c r="BZ225" i="1"/>
  <c r="BZ217" i="1"/>
  <c r="BZ219" i="1"/>
  <c r="BZ218" i="1"/>
  <c r="BZ211" i="1"/>
  <c r="BZ212" i="1"/>
  <c r="BZ213" i="1"/>
  <c r="BZ214" i="1"/>
  <c r="BZ215" i="1"/>
  <c r="BZ216" i="1"/>
  <c r="BZ209" i="1"/>
  <c r="BZ210" i="1"/>
  <c r="BZ220" i="1"/>
  <c r="BZ8" i="1"/>
  <c r="BZ9" i="1"/>
  <c r="BZ54" i="1"/>
  <c r="BZ49" i="1"/>
  <c r="BZ105" i="1"/>
  <c r="BZ101" i="1"/>
  <c r="BZ242" i="1"/>
  <c r="BZ248" i="1"/>
  <c r="BZ243" i="1"/>
  <c r="BZ244" i="1"/>
  <c r="BZ245" i="1"/>
  <c r="BZ246" i="1"/>
  <c r="BZ247" i="1"/>
  <c r="BZ385" i="1"/>
  <c r="BZ240" i="1"/>
  <c r="BZ241" i="1"/>
  <c r="BZ5" i="1"/>
  <c r="BZ6" i="1"/>
  <c r="BZ91" i="1"/>
  <c r="BZ92" i="1"/>
  <c r="BZ93" i="1"/>
  <c r="BZ229" i="1"/>
  <c r="BZ230" i="1"/>
  <c r="BZ231" i="1"/>
  <c r="BZ232" i="1"/>
  <c r="BZ233" i="1"/>
  <c r="BZ234" i="1"/>
  <c r="BZ235" i="1"/>
  <c r="BZ236" i="1"/>
  <c r="BZ237" i="1"/>
  <c r="BZ238" i="1"/>
  <c r="BZ239" i="1"/>
  <c r="BZ473" i="1"/>
  <c r="BZ226" i="1"/>
  <c r="BZ227" i="1"/>
  <c r="BZ228" i="1"/>
  <c r="BZ7" i="1"/>
  <c r="BZ120" i="1"/>
  <c r="BZ124" i="1"/>
  <c r="BZ127" i="1"/>
  <c r="BZ263" i="1"/>
  <c r="BZ264" i="1"/>
  <c r="BZ265" i="1"/>
  <c r="BZ266" i="1"/>
  <c r="BZ267" i="1"/>
  <c r="BZ355" i="1"/>
  <c r="BZ392" i="1"/>
  <c r="BZ453" i="1"/>
  <c r="BZ454" i="1"/>
  <c r="BZ455" i="1"/>
  <c r="BZ10" i="1"/>
  <c r="BZ11" i="1"/>
  <c r="BZ110" i="1"/>
  <c r="BZ109" i="1"/>
  <c r="BZ252" i="1"/>
  <c r="BZ253" i="1"/>
  <c r="BZ254" i="1"/>
  <c r="BZ255" i="1"/>
  <c r="BZ256" i="1"/>
  <c r="BZ257" i="1"/>
  <c r="BZ258" i="1"/>
  <c r="BZ449" i="1"/>
  <c r="BZ451" i="1"/>
  <c r="BZ450" i="1"/>
  <c r="BZ452" i="1"/>
  <c r="BZ480" i="1"/>
  <c r="BZ13" i="1"/>
  <c r="BZ14" i="1"/>
  <c r="BZ64" i="1"/>
  <c r="BZ59" i="1"/>
  <c r="BZ12" i="1"/>
  <c r="BZ18" i="1"/>
  <c r="BZ19" i="1"/>
  <c r="BZ197" i="1"/>
  <c r="BZ198" i="1"/>
  <c r="BZ199" i="1"/>
  <c r="BZ200" i="1"/>
  <c r="BZ282" i="1"/>
  <c r="BZ283" i="1"/>
  <c r="BZ284" i="1"/>
  <c r="BZ285" i="1"/>
  <c r="BZ286" i="1"/>
  <c r="BZ367" i="1"/>
  <c r="BZ460" i="1"/>
  <c r="BZ461" i="1"/>
  <c r="BZ462" i="1"/>
  <c r="BZ15" i="1"/>
  <c r="BZ16" i="1"/>
  <c r="BZ194" i="1"/>
  <c r="BZ195" i="1"/>
  <c r="BZ196" i="1"/>
  <c r="BZ272" i="1"/>
  <c r="BZ273" i="1"/>
  <c r="BZ274" i="1"/>
  <c r="BZ275" i="1"/>
  <c r="BZ276" i="1"/>
  <c r="BZ277" i="1"/>
  <c r="BZ278" i="1"/>
  <c r="BZ456" i="1"/>
  <c r="BZ459" i="1"/>
  <c r="BZ458" i="1"/>
  <c r="BZ457" i="1"/>
  <c r="BZ487" i="1"/>
  <c r="BZ17" i="1"/>
  <c r="BZ464" i="1"/>
  <c r="BZ463" i="1"/>
  <c r="BZ465" i="1"/>
  <c r="BZ466" i="1"/>
  <c r="BZ372" i="1"/>
  <c r="BZ368" i="1"/>
  <c r="BZ202" i="1"/>
  <c r="BZ203" i="1"/>
  <c r="BZ291" i="1"/>
  <c r="BZ292" i="1"/>
  <c r="BZ293" i="1"/>
  <c r="BZ294" i="1"/>
  <c r="BZ295" i="1"/>
  <c r="BZ296" i="1"/>
  <c r="BZ369" i="1"/>
  <c r="BZ370" i="1"/>
  <c r="BZ371" i="1"/>
  <c r="BZ201" i="1"/>
  <c r="BZ297" i="1"/>
  <c r="BZ20" i="1"/>
  <c r="BZ21" i="1"/>
  <c r="BZ469" i="1"/>
  <c r="BZ467" i="1"/>
  <c r="BZ468" i="1"/>
  <c r="BZ205" i="1"/>
  <c r="BZ206" i="1"/>
  <c r="BZ208" i="1"/>
  <c r="BZ207" i="1"/>
  <c r="BZ302" i="1"/>
  <c r="BZ303" i="1"/>
  <c r="BZ304" i="1"/>
  <c r="BZ305" i="1"/>
  <c r="BZ306" i="1"/>
  <c r="BZ378" i="1"/>
  <c r="BZ373" i="1"/>
  <c r="BZ374" i="1"/>
  <c r="BZ375" i="1"/>
  <c r="BZ376" i="1"/>
  <c r="BZ377" i="1"/>
  <c r="BZ204" i="1"/>
  <c r="BZ23" i="1"/>
  <c r="BZ24"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7" i="1"/>
  <c r="U376" i="1"/>
  <c r="U375" i="1"/>
  <c r="U374" i="1"/>
  <c r="U373" i="1"/>
  <c r="U378"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07" i="1"/>
  <c r="U306" i="1"/>
  <c r="U302" i="1"/>
  <c r="U301" i="1"/>
  <c r="U294" i="1"/>
  <c r="U293" i="1"/>
  <c r="U290" i="1"/>
  <c r="U289" i="1"/>
  <c r="U288" i="1"/>
  <c r="U287" i="1"/>
  <c r="U286" i="1"/>
  <c r="U284" i="1"/>
  <c r="U282" i="1"/>
  <c r="U281" i="1"/>
  <c r="U278" i="1"/>
  <c r="U277" i="1"/>
  <c r="U274" i="1"/>
  <c r="U272" i="1"/>
  <c r="U270" i="1"/>
  <c r="U264" i="1"/>
  <c r="U262" i="1"/>
  <c r="U261" i="1"/>
  <c r="U259" i="1"/>
  <c r="U258" i="1"/>
  <c r="U256" i="1"/>
  <c r="U255" i="1"/>
  <c r="U249" i="1"/>
  <c r="U248" i="1"/>
  <c r="U247" i="1"/>
  <c r="U245" i="1"/>
  <c r="U244" i="1"/>
  <c r="U242" i="1"/>
  <c r="U239" i="1"/>
  <c r="U238" i="1"/>
  <c r="U237" i="1"/>
  <c r="U235" i="1"/>
  <c r="U233" i="1"/>
  <c r="U232" i="1"/>
  <c r="U231" i="1"/>
  <c r="U227" i="1"/>
  <c r="U226" i="1"/>
  <c r="U224" i="1"/>
  <c r="U223" i="1"/>
  <c r="U222" i="1"/>
  <c r="U221" i="1"/>
  <c r="U220" i="1"/>
  <c r="U217" i="1"/>
  <c r="U216" i="1"/>
  <c r="U215" i="1"/>
  <c r="U214" i="1"/>
  <c r="U213" i="1"/>
  <c r="U212" i="1"/>
  <c r="U211" i="1"/>
  <c r="U210" i="1"/>
  <c r="U206" i="1"/>
  <c r="U205" i="1"/>
  <c r="U204" i="1"/>
  <c r="U208" i="1"/>
  <c r="U207" i="1"/>
  <c r="U203" i="1"/>
  <c r="U202" i="1"/>
  <c r="U201" i="1"/>
  <c r="U199" i="1"/>
  <c r="U198" i="1"/>
  <c r="U197" i="1"/>
  <c r="U200" i="1"/>
  <c r="U196" i="1"/>
  <c r="U195" i="1"/>
  <c r="U194" i="1"/>
  <c r="U191" i="1"/>
  <c r="U190" i="1"/>
  <c r="U189" i="1"/>
  <c r="U193" i="1"/>
  <c r="U192" i="1"/>
  <c r="U188" i="1"/>
  <c r="U187" i="1"/>
  <c r="U186" i="1"/>
  <c r="U185" i="1"/>
  <c r="U184" i="1"/>
  <c r="U181" i="1"/>
  <c r="U180" i="1"/>
  <c r="U179" i="1"/>
  <c r="U183" i="1"/>
  <c r="U182" i="1"/>
  <c r="U178" i="1"/>
  <c r="U177" i="1"/>
  <c r="U176" i="1"/>
  <c r="U175" i="1"/>
  <c r="U17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3" i="1"/>
  <c r="U42" i="1"/>
  <c r="U44" i="1"/>
  <c r="U41" i="1"/>
  <c r="U40" i="1"/>
  <c r="U38" i="1"/>
  <c r="U37" i="1"/>
  <c r="U39" i="1"/>
  <c r="U36" i="1"/>
  <c r="U35" i="1"/>
  <c r="U33" i="1"/>
  <c r="U32" i="1"/>
  <c r="U34" i="1"/>
  <c r="U31" i="1"/>
  <c r="U30" i="1"/>
  <c r="U28" i="1"/>
  <c r="U27" i="1"/>
  <c r="U29" i="1"/>
  <c r="U26" i="1"/>
  <c r="U25" i="1"/>
  <c r="U23" i="1"/>
  <c r="U22" i="1"/>
  <c r="U24" i="1"/>
  <c r="U21" i="1"/>
  <c r="U20" i="1"/>
  <c r="U18" i="1"/>
  <c r="U17" i="1"/>
  <c r="U19" i="1"/>
  <c r="U16" i="1"/>
  <c r="U15" i="1"/>
  <c r="U13" i="1"/>
  <c r="U12" i="1"/>
  <c r="U14" i="1"/>
  <c r="U11" i="1"/>
  <c r="U10" i="1"/>
  <c r="U8" i="1"/>
  <c r="U7" i="1"/>
  <c r="U9" i="1"/>
  <c r="U6" i="1"/>
  <c r="U5"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7" i="1"/>
  <c r="S376" i="1"/>
  <c r="S375" i="1"/>
  <c r="S374" i="1"/>
  <c r="S373" i="1"/>
  <c r="S378"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07" i="1"/>
  <c r="S306" i="1"/>
  <c r="S305" i="1"/>
  <c r="S304" i="1"/>
  <c r="S303" i="1"/>
  <c r="S302" i="1"/>
  <c r="S301"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4" i="1"/>
  <c r="S223" i="1"/>
  <c r="S222" i="1"/>
  <c r="S221" i="1"/>
  <c r="S220" i="1"/>
  <c r="S225" i="1"/>
  <c r="S219" i="1"/>
  <c r="S218" i="1"/>
  <c r="S217" i="1"/>
  <c r="S216" i="1"/>
  <c r="S215" i="1"/>
  <c r="S214" i="1"/>
  <c r="S213" i="1"/>
  <c r="S212" i="1"/>
  <c r="S211" i="1"/>
  <c r="S210" i="1"/>
  <c r="S209" i="1"/>
  <c r="S206" i="1"/>
  <c r="S205" i="1"/>
  <c r="S204" i="1"/>
  <c r="S208" i="1"/>
  <c r="S207" i="1"/>
  <c r="S203" i="1"/>
  <c r="S202" i="1"/>
  <c r="S201" i="1"/>
  <c r="S199" i="1"/>
  <c r="S198" i="1"/>
  <c r="S197" i="1"/>
  <c r="S200" i="1"/>
  <c r="S196" i="1"/>
  <c r="S195" i="1"/>
  <c r="S194" i="1"/>
  <c r="S191" i="1"/>
  <c r="S190" i="1"/>
  <c r="S189" i="1"/>
  <c r="S193" i="1"/>
  <c r="S192" i="1"/>
  <c r="S188" i="1"/>
  <c r="S187" i="1"/>
  <c r="S186" i="1"/>
  <c r="S185" i="1"/>
  <c r="S184" i="1"/>
  <c r="S181" i="1"/>
  <c r="S180" i="1"/>
  <c r="S179" i="1"/>
  <c r="S183" i="1"/>
  <c r="S182" i="1"/>
  <c r="S178" i="1"/>
  <c r="S177" i="1"/>
  <c r="S176" i="1"/>
  <c r="S175" i="1"/>
  <c r="S17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85" i="1"/>
  <c r="S84" i="1"/>
  <c r="S83" i="1"/>
  <c r="S82" i="1"/>
  <c r="S81" i="1"/>
  <c r="S80" i="1"/>
  <c r="S79" i="1"/>
  <c r="S78" i="1"/>
  <c r="S77" i="1"/>
  <c r="S76" i="1"/>
  <c r="S75" i="1"/>
  <c r="S74" i="1"/>
  <c r="S73" i="1"/>
  <c r="S72" i="1"/>
  <c r="S71" i="1"/>
  <c r="S70" i="1"/>
  <c r="S69" i="1"/>
  <c r="S67" i="1"/>
  <c r="S66" i="1"/>
  <c r="S65" i="1"/>
  <c r="S64" i="1"/>
  <c r="S63" i="1"/>
  <c r="S62" i="1"/>
  <c r="S61" i="1"/>
  <c r="S60" i="1"/>
  <c r="S59" i="1"/>
  <c r="S58" i="1"/>
  <c r="S57" i="1"/>
  <c r="S56" i="1"/>
  <c r="S55" i="1"/>
  <c r="S54" i="1"/>
  <c r="S53" i="1"/>
  <c r="S52" i="1"/>
  <c r="S51" i="1"/>
  <c r="S50" i="1"/>
  <c r="S49" i="1"/>
  <c r="S48" i="1"/>
  <c r="S47" i="1"/>
  <c r="S46" i="1"/>
  <c r="S45" i="1"/>
  <c r="S43" i="1"/>
  <c r="S42" i="1"/>
  <c r="S44" i="1"/>
  <c r="S41" i="1"/>
  <c r="S40" i="1"/>
  <c r="S38" i="1"/>
  <c r="S37" i="1"/>
  <c r="S39" i="1"/>
  <c r="S36" i="1"/>
  <c r="S35" i="1"/>
  <c r="S33" i="1"/>
  <c r="S32" i="1"/>
  <c r="S34" i="1"/>
  <c r="S31" i="1"/>
  <c r="S30" i="1"/>
  <c r="S28" i="1"/>
  <c r="S27" i="1"/>
  <c r="S29" i="1"/>
  <c r="S26" i="1"/>
  <c r="S25" i="1"/>
  <c r="S23" i="1"/>
  <c r="S22" i="1"/>
  <c r="S24" i="1"/>
  <c r="S21" i="1"/>
  <c r="S20" i="1"/>
  <c r="S18" i="1"/>
  <c r="S17" i="1"/>
  <c r="S19" i="1"/>
  <c r="S16" i="1"/>
  <c r="S15" i="1"/>
  <c r="S13" i="1"/>
  <c r="S12" i="1"/>
  <c r="S14" i="1"/>
  <c r="S11" i="1"/>
  <c r="S10" i="1"/>
  <c r="S8" i="1"/>
  <c r="S7" i="1"/>
  <c r="S9" i="1"/>
  <c r="S6" i="1"/>
  <c r="S5"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7" i="1"/>
  <c r="X376" i="1"/>
  <c r="X375" i="1"/>
  <c r="X374" i="1"/>
  <c r="X373" i="1"/>
  <c r="X378"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07" i="1"/>
  <c r="X306" i="1"/>
  <c r="X305" i="1"/>
  <c r="X304" i="1"/>
  <c r="X303" i="1"/>
  <c r="X302" i="1"/>
  <c r="X301"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4" i="1"/>
  <c r="X223" i="1"/>
  <c r="X222" i="1"/>
  <c r="X221" i="1"/>
  <c r="X220" i="1"/>
  <c r="X225" i="1"/>
  <c r="X219" i="1"/>
  <c r="X218" i="1"/>
  <c r="X217" i="1"/>
  <c r="X216" i="1"/>
  <c r="X215" i="1"/>
  <c r="X214" i="1"/>
  <c r="X213" i="1"/>
  <c r="X212" i="1"/>
  <c r="X211" i="1"/>
  <c r="X210" i="1"/>
  <c r="X209" i="1"/>
  <c r="X206" i="1"/>
  <c r="X205" i="1"/>
  <c r="X204" i="1"/>
  <c r="X208" i="1"/>
  <c r="X207" i="1"/>
  <c r="X203" i="1"/>
  <c r="X202" i="1"/>
  <c r="X201" i="1"/>
  <c r="X199" i="1"/>
  <c r="X198" i="1"/>
  <c r="X197" i="1"/>
  <c r="X200" i="1"/>
  <c r="X196" i="1"/>
  <c r="X195" i="1"/>
  <c r="X194" i="1"/>
  <c r="X191" i="1"/>
  <c r="X190" i="1"/>
  <c r="X189" i="1"/>
  <c r="X193" i="1"/>
  <c r="X192" i="1"/>
  <c r="X188" i="1"/>
  <c r="X187" i="1"/>
  <c r="X186" i="1"/>
  <c r="X185" i="1"/>
  <c r="X184" i="1"/>
  <c r="X181" i="1"/>
  <c r="X180" i="1"/>
  <c r="X179" i="1"/>
  <c r="X183" i="1"/>
  <c r="X182" i="1"/>
  <c r="X178" i="1"/>
  <c r="X177" i="1"/>
  <c r="X176" i="1"/>
  <c r="X175" i="1"/>
  <c r="X17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3" i="1"/>
  <c r="X42" i="1"/>
  <c r="X44" i="1"/>
  <c r="X41" i="1"/>
  <c r="X40" i="1"/>
  <c r="X38" i="1"/>
  <c r="X37" i="1"/>
  <c r="X39" i="1"/>
  <c r="X36" i="1"/>
  <c r="X35" i="1"/>
  <c r="X33" i="1"/>
  <c r="X32" i="1"/>
  <c r="X34" i="1"/>
  <c r="X31" i="1"/>
  <c r="X30" i="1"/>
  <c r="X28" i="1"/>
  <c r="X27" i="1"/>
  <c r="X29" i="1"/>
  <c r="X26" i="1"/>
  <c r="X25" i="1"/>
  <c r="X23" i="1"/>
  <c r="X22" i="1"/>
  <c r="X24" i="1"/>
  <c r="X21" i="1"/>
  <c r="X20" i="1"/>
  <c r="X18" i="1"/>
  <c r="X17" i="1"/>
  <c r="X19" i="1"/>
  <c r="X16" i="1"/>
  <c r="X15" i="1"/>
  <c r="X13" i="1"/>
  <c r="X12" i="1"/>
  <c r="X14" i="1"/>
  <c r="X11" i="1"/>
  <c r="X10" i="1"/>
  <c r="X8" i="1"/>
  <c r="X7" i="1"/>
  <c r="X9" i="1"/>
  <c r="X6" i="1"/>
  <c r="X5" i="1"/>
  <c r="BW497" i="1"/>
  <c r="BW496" i="1"/>
  <c r="BW495" i="1"/>
  <c r="BX494" i="1"/>
  <c r="BZ494" i="1" s="1"/>
  <c r="BW494" i="1"/>
  <c r="BW493" i="1"/>
  <c r="BW492" i="1"/>
  <c r="BW491" i="1"/>
  <c r="BX448" i="1"/>
  <c r="BZ448" i="1" s="1"/>
  <c r="BW448" i="1"/>
  <c r="BX447" i="1"/>
  <c r="BZ447" i="1" s="1"/>
  <c r="BW447" i="1"/>
  <c r="BX446" i="1"/>
  <c r="BZ446" i="1" s="1"/>
  <c r="BW446" i="1"/>
  <c r="BX445" i="1"/>
  <c r="BZ445" i="1" s="1"/>
  <c r="BW445" i="1"/>
  <c r="BX444" i="1"/>
  <c r="BZ444" i="1" s="1"/>
  <c r="BW444" i="1"/>
  <c r="BX443" i="1"/>
  <c r="BZ443" i="1" s="1"/>
  <c r="BW443" i="1"/>
  <c r="BX442" i="1"/>
  <c r="BZ442" i="1" s="1"/>
  <c r="BW442" i="1"/>
  <c r="BX441" i="1"/>
  <c r="BZ441" i="1" s="1"/>
  <c r="BW441" i="1"/>
  <c r="BW440" i="1"/>
  <c r="BW439" i="1"/>
  <c r="BW438" i="1"/>
  <c r="BX437" i="1"/>
  <c r="BZ437" i="1" s="1"/>
  <c r="BW437" i="1"/>
  <c r="BW436" i="1"/>
  <c r="BW435" i="1"/>
  <c r="BW434" i="1"/>
  <c r="BX433" i="1"/>
  <c r="BZ433" i="1" s="1"/>
  <c r="BW433" i="1"/>
  <c r="BW432" i="1"/>
  <c r="BW431" i="1"/>
  <c r="BW430" i="1"/>
  <c r="BX429" i="1"/>
  <c r="BZ429" i="1" s="1"/>
  <c r="BW429" i="1"/>
  <c r="BW428" i="1"/>
  <c r="BW427" i="1"/>
  <c r="BW426" i="1"/>
  <c r="BX425" i="1"/>
  <c r="BZ425" i="1" s="1"/>
  <c r="BW425" i="1"/>
  <c r="BW424" i="1"/>
  <c r="BW423" i="1"/>
  <c r="BW422" i="1"/>
  <c r="BX421" i="1"/>
  <c r="BZ421" i="1" s="1"/>
  <c r="BW421" i="1"/>
  <c r="BW420" i="1"/>
  <c r="BW419" i="1"/>
  <c r="BW418" i="1"/>
  <c r="BX417" i="1"/>
  <c r="BZ417" i="1" s="1"/>
  <c r="BW417" i="1"/>
  <c r="BW416" i="1"/>
  <c r="BW415" i="1"/>
  <c r="BW414" i="1"/>
  <c r="BX413" i="1"/>
  <c r="BZ413" i="1" s="1"/>
  <c r="BW413" i="1"/>
  <c r="BW412" i="1"/>
  <c r="BW411" i="1"/>
  <c r="BW410" i="1"/>
  <c r="BX406" i="1"/>
  <c r="BZ406" i="1" s="1"/>
  <c r="BW406" i="1"/>
  <c r="BW405" i="1"/>
  <c r="BW404" i="1"/>
  <c r="BW403" i="1"/>
  <c r="BW402" i="1"/>
  <c r="BW401" i="1"/>
  <c r="BW400" i="1"/>
  <c r="BX399" i="1"/>
  <c r="BZ399" i="1" s="1"/>
  <c r="BW399" i="1"/>
  <c r="BW398" i="1"/>
  <c r="BW397" i="1"/>
  <c r="BW396" i="1"/>
  <c r="BW395" i="1"/>
  <c r="BW394" i="1"/>
  <c r="BW393" i="1"/>
  <c r="BX342" i="1"/>
  <c r="BZ342" i="1" s="1"/>
  <c r="BW342" i="1"/>
  <c r="BW341" i="1"/>
  <c r="BW340" i="1"/>
  <c r="BW339" i="1"/>
  <c r="BW338" i="1"/>
  <c r="BW337" i="1"/>
  <c r="BW336" i="1"/>
  <c r="BW335" i="1"/>
  <c r="BW334" i="1"/>
  <c r="BW333" i="1"/>
  <c r="BW332" i="1"/>
  <c r="BX331" i="1"/>
  <c r="BZ331" i="1" s="1"/>
  <c r="BW331" i="1"/>
  <c r="BW330" i="1"/>
  <c r="BW329" i="1"/>
  <c r="BW328" i="1"/>
  <c r="BW327" i="1"/>
  <c r="BW326" i="1"/>
  <c r="BW325" i="1"/>
  <c r="BW324" i="1"/>
  <c r="BW323" i="1"/>
  <c r="BW322" i="1"/>
  <c r="BW321" i="1"/>
  <c r="BW320" i="1"/>
  <c r="BX307" i="1"/>
  <c r="BZ307" i="1" s="1"/>
  <c r="BW307" i="1"/>
  <c r="BW306" i="1"/>
  <c r="BW305" i="1"/>
  <c r="BW304" i="1"/>
  <c r="BW303" i="1"/>
  <c r="BW302" i="1"/>
  <c r="BX301" i="1"/>
  <c r="BZ301" i="1" s="1"/>
  <c r="BW301" i="1"/>
  <c r="BX299" i="1"/>
  <c r="BZ299" i="1" s="1"/>
  <c r="BW299" i="1"/>
  <c r="BX298" i="1"/>
  <c r="BZ298" i="1" s="1"/>
  <c r="BW298" i="1"/>
  <c r="BW297" i="1"/>
  <c r="BW296" i="1"/>
  <c r="BW295" i="1"/>
  <c r="BW294" i="1"/>
  <c r="BW293" i="1"/>
  <c r="BW292" i="1"/>
  <c r="BW291" i="1"/>
  <c r="BX290" i="1"/>
  <c r="BZ290" i="1" s="1"/>
  <c r="BW290" i="1"/>
  <c r="BX289" i="1"/>
  <c r="BZ289" i="1" s="1"/>
  <c r="BW289" i="1"/>
  <c r="BX288" i="1"/>
  <c r="BZ288" i="1" s="1"/>
  <c r="BW288" i="1"/>
  <c r="BX287" i="1"/>
  <c r="BZ287" i="1" s="1"/>
  <c r="BW287" i="1"/>
  <c r="BW286" i="1"/>
  <c r="BW285" i="1"/>
  <c r="BW284" i="1"/>
  <c r="BW283" i="1"/>
  <c r="BW282" i="1"/>
  <c r="BX281" i="1"/>
  <c r="BZ281" i="1" s="1"/>
  <c r="BW281" i="1"/>
  <c r="BX280" i="1"/>
  <c r="BZ280" i="1" s="1"/>
  <c r="BW280" i="1"/>
  <c r="BX279" i="1"/>
  <c r="BZ279" i="1" s="1"/>
  <c r="BW279" i="1"/>
  <c r="BW278" i="1"/>
  <c r="BW277" i="1"/>
  <c r="BW276" i="1"/>
  <c r="BW275" i="1"/>
  <c r="BW274" i="1"/>
  <c r="BW273" i="1"/>
  <c r="BW272" i="1"/>
  <c r="BX271" i="1"/>
  <c r="BZ271" i="1" s="1"/>
  <c r="BW271" i="1"/>
  <c r="BX270" i="1"/>
  <c r="BZ270" i="1" s="1"/>
  <c r="BW270" i="1"/>
  <c r="BX269" i="1"/>
  <c r="BZ269" i="1" s="1"/>
  <c r="BW269" i="1"/>
  <c r="BX268" i="1"/>
  <c r="BZ268" i="1" s="1"/>
  <c r="BW268" i="1"/>
  <c r="BW267" i="1"/>
  <c r="BW266" i="1"/>
  <c r="BW265" i="1"/>
  <c r="BW264" i="1"/>
  <c r="BW263" i="1"/>
  <c r="BX262" i="1"/>
  <c r="BZ262" i="1" s="1"/>
  <c r="BW262" i="1"/>
  <c r="BX261" i="1"/>
  <c r="BZ261" i="1" s="1"/>
  <c r="BW261" i="1"/>
  <c r="BX260" i="1"/>
  <c r="BZ260" i="1" s="1"/>
  <c r="BW260" i="1"/>
  <c r="BX259" i="1"/>
  <c r="BZ259" i="1" s="1"/>
  <c r="BW259" i="1"/>
  <c r="BW258" i="1"/>
  <c r="BW257" i="1"/>
  <c r="BW256" i="1"/>
  <c r="BW255" i="1"/>
  <c r="BW254" i="1"/>
  <c r="BW253" i="1"/>
  <c r="BW252" i="1"/>
  <c r="BX251" i="1"/>
  <c r="BZ251" i="1" s="1"/>
  <c r="BW251" i="1"/>
  <c r="BX250" i="1"/>
  <c r="BZ250" i="1" s="1"/>
  <c r="BW250" i="1"/>
  <c r="BX249" i="1"/>
  <c r="BZ249" i="1" s="1"/>
  <c r="BW249" i="1"/>
  <c r="BX191" i="1"/>
  <c r="BZ191" i="1" s="1"/>
  <c r="BW191" i="1"/>
  <c r="BX190" i="1"/>
  <c r="BZ190" i="1" s="1"/>
  <c r="BW190" i="1"/>
  <c r="BX189" i="1"/>
  <c r="BZ189" i="1" s="1"/>
  <c r="BW189" i="1"/>
  <c r="BX193" i="1"/>
  <c r="BZ193" i="1" s="1"/>
  <c r="BW193" i="1"/>
  <c r="BX192" i="1"/>
  <c r="BZ192" i="1" s="1"/>
  <c r="BW192" i="1"/>
  <c r="BX188" i="1"/>
  <c r="BZ188" i="1" s="1"/>
  <c r="BW188" i="1"/>
  <c r="BX187" i="1"/>
  <c r="BZ187" i="1" s="1"/>
  <c r="BW187" i="1"/>
  <c r="BX186" i="1"/>
  <c r="BZ186" i="1" s="1"/>
  <c r="BW186" i="1"/>
  <c r="BX185" i="1"/>
  <c r="BZ185" i="1" s="1"/>
  <c r="BW185" i="1"/>
  <c r="BX184" i="1"/>
  <c r="BZ184" i="1" s="1"/>
  <c r="BW184" i="1"/>
  <c r="BX181" i="1"/>
  <c r="BZ181" i="1" s="1"/>
  <c r="BW181" i="1"/>
  <c r="BX180" i="1"/>
  <c r="BZ180" i="1" s="1"/>
  <c r="BW180" i="1"/>
  <c r="BX179" i="1"/>
  <c r="BZ179" i="1" s="1"/>
  <c r="BW179" i="1"/>
  <c r="BX183" i="1"/>
  <c r="BZ183" i="1" s="1"/>
  <c r="BW183" i="1"/>
  <c r="BX182" i="1"/>
  <c r="BZ182" i="1" s="1"/>
  <c r="BW182" i="1"/>
  <c r="BX178" i="1"/>
  <c r="BZ178" i="1" s="1"/>
  <c r="BW178" i="1"/>
  <c r="BX177" i="1"/>
  <c r="BZ177" i="1" s="1"/>
  <c r="BW177" i="1"/>
  <c r="BX176" i="1"/>
  <c r="BZ176" i="1" s="1"/>
  <c r="BW176" i="1"/>
  <c r="BX175" i="1"/>
  <c r="BZ175" i="1" s="1"/>
  <c r="BW175" i="1"/>
  <c r="BX174" i="1"/>
  <c r="BZ174" i="1" s="1"/>
  <c r="BW174" i="1"/>
  <c r="BW163" i="1"/>
  <c r="BW162" i="1"/>
  <c r="BW161" i="1"/>
  <c r="BX160" i="1"/>
  <c r="BZ160" i="1" s="1"/>
  <c r="BW160" i="1"/>
  <c r="BW159" i="1"/>
  <c r="BW158" i="1"/>
  <c r="BW157" i="1"/>
  <c r="BX156" i="1"/>
  <c r="BZ156" i="1" s="1"/>
  <c r="BW156" i="1"/>
  <c r="BW155" i="1"/>
  <c r="BW154" i="1"/>
  <c r="BW153" i="1"/>
  <c r="BW152" i="1"/>
  <c r="BW151" i="1"/>
  <c r="BW150" i="1"/>
  <c r="BW149" i="1"/>
  <c r="BW148" i="1"/>
  <c r="BX147" i="1"/>
  <c r="BZ147" i="1" s="1"/>
  <c r="BW147" i="1"/>
  <c r="BX146" i="1"/>
  <c r="BZ146" i="1" s="1"/>
  <c r="BW146" i="1"/>
  <c r="BW145" i="1"/>
  <c r="BW144" i="1"/>
  <c r="BW143" i="1"/>
  <c r="BX142" i="1"/>
  <c r="BZ142" i="1" s="1"/>
  <c r="BW142" i="1"/>
  <c r="BW141" i="1"/>
  <c r="BW140" i="1"/>
  <c r="BW139" i="1"/>
  <c r="BX138" i="1"/>
  <c r="BZ138" i="1" s="1"/>
  <c r="BW138" i="1"/>
  <c r="BW137" i="1"/>
  <c r="BW136" i="1"/>
  <c r="BW135" i="1"/>
  <c r="BW134" i="1"/>
  <c r="BW133" i="1"/>
  <c r="BW132" i="1"/>
  <c r="BW131" i="1"/>
  <c r="BW130" i="1"/>
  <c r="BX129" i="1"/>
  <c r="BZ129" i="1" s="1"/>
  <c r="BW129" i="1"/>
  <c r="BX128" i="1"/>
  <c r="BZ128" i="1" s="1"/>
  <c r="BW128" i="1"/>
  <c r="BW85" i="1"/>
  <c r="BW84" i="1"/>
  <c r="BW83" i="1"/>
  <c r="BW82" i="1"/>
  <c r="BX81" i="1"/>
  <c r="BZ81" i="1" s="1"/>
  <c r="BW81" i="1"/>
  <c r="BX80" i="1"/>
  <c r="BZ80" i="1" s="1"/>
  <c r="BW80" i="1"/>
  <c r="BW79" i="1"/>
  <c r="BW78" i="1"/>
  <c r="BW77" i="1"/>
  <c r="BW76" i="1"/>
  <c r="BW75" i="1"/>
  <c r="BW74" i="1"/>
  <c r="BW73" i="1"/>
  <c r="BW72" i="1"/>
  <c r="BX71" i="1"/>
  <c r="BZ71" i="1" s="1"/>
  <c r="BW71" i="1"/>
  <c r="BX70" i="1"/>
  <c r="BZ70" i="1" s="1"/>
  <c r="BW70" i="1"/>
  <c r="BW69" i="1"/>
  <c r="BW68" i="1"/>
  <c r="BW67" i="1"/>
  <c r="BW66" i="1"/>
  <c r="BW65" i="1"/>
  <c r="BX43" i="1"/>
  <c r="BZ43" i="1" s="1"/>
  <c r="BW43" i="1"/>
  <c r="BX42" i="1"/>
  <c r="BZ42" i="1" s="1"/>
  <c r="BW42" i="1"/>
  <c r="BX44" i="1"/>
  <c r="BZ44" i="1" s="1"/>
  <c r="BW44" i="1"/>
  <c r="BX41" i="1"/>
  <c r="BZ41" i="1" s="1"/>
  <c r="BW41" i="1"/>
  <c r="BX40" i="1"/>
  <c r="BZ40" i="1" s="1"/>
  <c r="BW40" i="1"/>
  <c r="BX38" i="1"/>
  <c r="BZ38" i="1" s="1"/>
  <c r="BW38" i="1"/>
  <c r="BX37" i="1"/>
  <c r="BZ37" i="1" s="1"/>
  <c r="BW37" i="1"/>
  <c r="BX39" i="1"/>
  <c r="BZ39" i="1" s="1"/>
  <c r="BW39" i="1"/>
  <c r="BX36" i="1"/>
  <c r="BZ36" i="1" s="1"/>
  <c r="BW36" i="1"/>
  <c r="BX35" i="1"/>
  <c r="BZ35" i="1" s="1"/>
  <c r="BW35" i="1"/>
  <c r="BX33" i="1"/>
  <c r="BZ33" i="1" s="1"/>
  <c r="BW33" i="1"/>
  <c r="BX32" i="1"/>
  <c r="BZ32" i="1" s="1"/>
  <c r="BW32" i="1"/>
  <c r="BX34" i="1"/>
  <c r="BZ34" i="1" s="1"/>
  <c r="BW34" i="1"/>
  <c r="BX31" i="1"/>
  <c r="BZ31" i="1" s="1"/>
  <c r="BW31" i="1"/>
  <c r="BX30" i="1"/>
  <c r="BZ30" i="1" s="1"/>
  <c r="BW30" i="1"/>
  <c r="BX28" i="1"/>
  <c r="BZ28" i="1" s="1"/>
  <c r="BW28" i="1"/>
  <c r="BX27" i="1"/>
  <c r="BZ27" i="1" s="1"/>
  <c r="BW27" i="1"/>
  <c r="BX29" i="1"/>
  <c r="BZ29" i="1" s="1"/>
  <c r="BW29" i="1"/>
  <c r="BX26" i="1"/>
  <c r="BZ26" i="1" s="1"/>
  <c r="BW26" i="1"/>
  <c r="BX25" i="1"/>
  <c r="BZ25" i="1" s="1"/>
  <c r="BW25" i="1"/>
  <c r="BW23" i="1"/>
  <c r="BW22" i="1"/>
  <c r="BW24" i="1"/>
  <c r="BW21" i="1"/>
  <c r="BW20" i="1"/>
  <c r="BW18" i="1"/>
  <c r="BW17" i="1"/>
  <c r="BW19" i="1"/>
  <c r="BW16" i="1"/>
  <c r="BW15" i="1"/>
  <c r="BW13" i="1"/>
  <c r="BW12" i="1"/>
  <c r="BW14" i="1"/>
  <c r="BW11" i="1"/>
  <c r="BW10" i="1"/>
  <c r="BW8" i="1"/>
  <c r="BW7" i="1"/>
  <c r="BW9" i="1"/>
  <c r="BW6" i="1"/>
  <c r="BW5" i="1"/>
  <c r="CB497" i="1"/>
  <c r="CB496" i="1"/>
  <c r="CB495" i="1"/>
  <c r="CB494" i="1"/>
  <c r="CB493" i="1"/>
  <c r="CB492" i="1"/>
  <c r="CB491" i="1"/>
  <c r="CB490" i="1"/>
  <c r="CB489" i="1"/>
  <c r="CB488" i="1"/>
  <c r="CB487" i="1"/>
  <c r="CB486" i="1"/>
  <c r="CB485" i="1"/>
  <c r="CB484" i="1"/>
  <c r="CB483" i="1"/>
  <c r="CB482" i="1"/>
  <c r="CB481" i="1"/>
  <c r="CB480" i="1"/>
  <c r="CB479" i="1"/>
  <c r="CB478" i="1"/>
  <c r="CB477" i="1"/>
  <c r="CB476" i="1"/>
  <c r="CB475" i="1"/>
  <c r="CB474" i="1"/>
  <c r="CB473" i="1"/>
  <c r="CB472" i="1"/>
  <c r="CB471" i="1"/>
  <c r="CB470" i="1"/>
  <c r="CB469" i="1"/>
  <c r="CB468" i="1"/>
  <c r="CB467" i="1"/>
  <c r="CB466" i="1"/>
  <c r="CB465" i="1"/>
  <c r="CB464" i="1"/>
  <c r="CB463" i="1"/>
  <c r="CB457" i="1"/>
  <c r="CB454" i="1"/>
  <c r="CB452" i="1"/>
  <c r="CB451" i="1"/>
  <c r="CB450" i="1"/>
  <c r="CB449" i="1"/>
  <c r="CB445" i="1"/>
  <c r="CB443" i="1"/>
  <c r="CB442" i="1"/>
  <c r="CB431" i="1"/>
  <c r="CB430" i="1"/>
  <c r="CB417" i="1"/>
  <c r="CB406" i="1"/>
  <c r="CB405" i="1"/>
  <c r="CB404" i="1"/>
  <c r="CB403" i="1"/>
  <c r="CB402" i="1"/>
  <c r="CB401" i="1"/>
  <c r="CB400" i="1"/>
  <c r="CB399" i="1"/>
  <c r="CB398" i="1"/>
  <c r="CB397" i="1"/>
  <c r="CB396" i="1"/>
  <c r="CB395" i="1"/>
  <c r="CB394" i="1"/>
  <c r="CB393" i="1"/>
  <c r="CB392" i="1"/>
  <c r="CB391" i="1"/>
  <c r="CB390" i="1"/>
  <c r="CB389" i="1"/>
  <c r="CB388" i="1"/>
  <c r="CB387" i="1"/>
  <c r="CB386" i="1"/>
  <c r="CB385" i="1"/>
  <c r="CB384" i="1"/>
  <c r="CB383" i="1"/>
  <c r="CB382" i="1"/>
  <c r="CB377" i="1"/>
  <c r="CB376" i="1"/>
  <c r="CB375" i="1"/>
  <c r="CB374" i="1"/>
  <c r="CB373" i="1"/>
  <c r="CB378" i="1"/>
  <c r="CB372" i="1"/>
  <c r="CB371" i="1"/>
  <c r="CB370" i="1"/>
  <c r="CB369" i="1"/>
  <c r="CB368" i="1"/>
  <c r="CB367" i="1"/>
  <c r="CB366" i="1"/>
  <c r="CB365" i="1"/>
  <c r="CB364" i="1"/>
  <c r="CB363" i="1"/>
  <c r="CB362" i="1"/>
  <c r="CB361" i="1"/>
  <c r="CB360" i="1"/>
  <c r="CB359" i="1"/>
  <c r="CB358" i="1"/>
  <c r="CB357" i="1"/>
  <c r="CB356" i="1"/>
  <c r="CB355" i="1"/>
  <c r="CB354" i="1"/>
  <c r="CB353" i="1"/>
  <c r="CB352" i="1"/>
  <c r="CB351" i="1"/>
  <c r="CB350" i="1"/>
  <c r="CB349" i="1"/>
  <c r="CB348" i="1"/>
  <c r="CB347" i="1"/>
  <c r="CB346" i="1"/>
  <c r="CB345" i="1"/>
  <c r="CB344" i="1"/>
  <c r="CB343" i="1"/>
  <c r="CB342" i="1"/>
  <c r="CB341" i="1"/>
  <c r="CB340" i="1"/>
  <c r="CB339" i="1"/>
  <c r="CB338" i="1"/>
  <c r="CB337" i="1"/>
  <c r="CB336" i="1"/>
  <c r="CB335" i="1"/>
  <c r="CB334" i="1"/>
  <c r="CB333" i="1"/>
  <c r="CB332" i="1"/>
  <c r="CB307" i="1"/>
  <c r="CB306" i="1"/>
  <c r="CB305" i="1"/>
  <c r="CB304" i="1"/>
  <c r="CB303" i="1"/>
  <c r="CB302" i="1"/>
  <c r="CB301" i="1"/>
  <c r="CB299" i="1"/>
  <c r="CB298" i="1"/>
  <c r="CB297" i="1"/>
  <c r="CB296" i="1"/>
  <c r="CB295" i="1"/>
  <c r="CB294" i="1"/>
  <c r="CB293" i="1"/>
  <c r="CB292" i="1"/>
  <c r="CB291" i="1"/>
  <c r="CB290" i="1"/>
  <c r="CB289" i="1"/>
  <c r="CB288" i="1"/>
  <c r="CB287" i="1"/>
  <c r="CB286" i="1"/>
  <c r="CB285" i="1"/>
  <c r="CB284" i="1"/>
  <c r="CB283" i="1"/>
  <c r="CB282" i="1"/>
  <c r="CB281" i="1"/>
  <c r="CB280" i="1"/>
  <c r="CB279" i="1"/>
  <c r="CB278" i="1"/>
  <c r="CB277" i="1"/>
  <c r="CB276" i="1"/>
  <c r="CB275" i="1"/>
  <c r="CB274" i="1"/>
  <c r="CB273" i="1"/>
  <c r="CB272" i="1"/>
  <c r="CB271" i="1"/>
  <c r="CB270" i="1"/>
  <c r="CB269" i="1"/>
  <c r="CB268" i="1"/>
  <c r="CB267" i="1"/>
  <c r="CB266" i="1"/>
  <c r="CB265" i="1"/>
  <c r="CB264" i="1"/>
  <c r="CB263" i="1"/>
  <c r="CB262" i="1"/>
  <c r="CB261" i="1"/>
  <c r="CB260" i="1"/>
  <c r="CB259" i="1"/>
  <c r="CB258" i="1"/>
  <c r="CB257" i="1"/>
  <c r="CB256" i="1"/>
  <c r="CB255" i="1"/>
  <c r="CB254" i="1"/>
  <c r="CB253" i="1"/>
  <c r="CB252" i="1"/>
  <c r="CB251" i="1"/>
  <c r="CB250" i="1"/>
  <c r="CB249" i="1"/>
  <c r="CB248" i="1"/>
  <c r="CB247" i="1"/>
  <c r="CB246" i="1"/>
  <c r="CB245" i="1"/>
  <c r="CB244" i="1"/>
  <c r="CB243" i="1"/>
  <c r="CB242" i="1"/>
  <c r="CB241" i="1"/>
  <c r="CB240" i="1"/>
  <c r="CB239" i="1"/>
  <c r="CB238" i="1"/>
  <c r="CB237" i="1"/>
  <c r="CB236" i="1"/>
  <c r="CB235" i="1"/>
  <c r="CB234" i="1"/>
  <c r="CB233" i="1"/>
  <c r="CB232" i="1"/>
  <c r="CB231" i="1"/>
  <c r="CB230" i="1"/>
  <c r="CB229" i="1"/>
  <c r="CB208" i="1"/>
  <c r="CB192" i="1"/>
  <c r="CB182" i="1"/>
  <c r="CB178" i="1"/>
  <c r="CB177" i="1"/>
  <c r="CB176" i="1"/>
  <c r="CB175" i="1"/>
  <c r="CB174" i="1"/>
  <c r="CB163" i="1"/>
  <c r="CB162" i="1"/>
  <c r="CB161" i="1"/>
  <c r="CB160" i="1"/>
  <c r="CB159" i="1"/>
  <c r="CB158" i="1"/>
  <c r="CB157" i="1"/>
  <c r="CB156" i="1"/>
  <c r="CB155" i="1"/>
  <c r="CB154" i="1"/>
  <c r="CB153" i="1"/>
  <c r="CB152" i="1"/>
  <c r="CB151" i="1"/>
  <c r="CB150" i="1"/>
  <c r="CB149" i="1"/>
  <c r="CB148" i="1"/>
  <c r="CB147" i="1"/>
  <c r="CB146" i="1"/>
  <c r="CB145" i="1"/>
  <c r="CB144" i="1"/>
  <c r="CB143" i="1"/>
  <c r="CB142" i="1"/>
  <c r="CB141" i="1"/>
  <c r="CB140" i="1"/>
  <c r="CB139" i="1"/>
  <c r="CB138" i="1"/>
  <c r="CB137" i="1"/>
  <c r="CB136" i="1"/>
  <c r="CB135" i="1"/>
  <c r="CB134" i="1"/>
  <c r="CB133" i="1"/>
  <c r="CB132" i="1"/>
  <c r="CB131" i="1"/>
  <c r="CB130" i="1"/>
  <c r="CB129" i="1"/>
  <c r="CB128" i="1"/>
  <c r="CB127" i="1"/>
  <c r="CB126" i="1"/>
  <c r="CB125" i="1"/>
  <c r="CB124" i="1"/>
  <c r="CB123" i="1"/>
  <c r="CB122" i="1"/>
  <c r="CB121" i="1"/>
  <c r="CB120" i="1"/>
  <c r="CB119" i="1"/>
  <c r="CB118" i="1"/>
  <c r="CB117" i="1"/>
  <c r="CB116" i="1"/>
  <c r="CB115" i="1"/>
  <c r="CB114" i="1"/>
  <c r="CB113" i="1"/>
  <c r="CB112" i="1"/>
  <c r="CB111" i="1"/>
  <c r="CB110" i="1"/>
  <c r="CB109" i="1"/>
  <c r="CB108" i="1"/>
  <c r="CB107" i="1"/>
  <c r="CB106" i="1"/>
  <c r="CB103" i="1"/>
  <c r="CB102" i="1"/>
  <c r="CB101" i="1"/>
  <c r="CB100" i="1"/>
  <c r="CB99" i="1"/>
  <c r="CB98" i="1"/>
  <c r="CB96" i="1"/>
  <c r="CB94" i="1"/>
  <c r="CB93" i="1"/>
  <c r="CB92" i="1"/>
  <c r="CB85" i="1"/>
  <c r="CB84" i="1"/>
  <c r="CB83" i="1"/>
  <c r="CB82" i="1"/>
  <c r="CB81" i="1"/>
  <c r="CB80" i="1"/>
  <c r="CB79" i="1"/>
  <c r="CB78" i="1"/>
  <c r="CB77" i="1"/>
  <c r="CB76" i="1"/>
  <c r="CB75" i="1"/>
  <c r="CB74" i="1"/>
  <c r="CB73" i="1"/>
  <c r="CB72" i="1"/>
  <c r="CB71" i="1"/>
  <c r="CB70" i="1"/>
  <c r="CB69" i="1"/>
  <c r="CB68" i="1"/>
  <c r="CB67" i="1"/>
  <c r="CB66" i="1"/>
  <c r="CB65" i="1"/>
  <c r="CB64" i="1"/>
  <c r="CB63" i="1"/>
  <c r="CB62" i="1"/>
  <c r="CB61" i="1"/>
  <c r="CB60" i="1"/>
  <c r="CB59" i="1"/>
  <c r="CB58" i="1"/>
  <c r="CB57" i="1"/>
  <c r="CB56" i="1"/>
  <c r="CB55" i="1"/>
  <c r="CB54" i="1"/>
  <c r="CB53" i="1"/>
  <c r="CB52" i="1"/>
  <c r="CB51" i="1"/>
  <c r="CB50" i="1"/>
  <c r="CB49" i="1"/>
  <c r="CB48" i="1"/>
  <c r="CB47" i="1"/>
  <c r="CB46" i="1"/>
  <c r="CB45" i="1"/>
  <c r="CB43" i="1"/>
  <c r="CB42" i="1"/>
  <c r="CB44" i="1"/>
  <c r="CB41" i="1"/>
  <c r="CB40" i="1"/>
  <c r="CB38" i="1"/>
  <c r="CB37" i="1"/>
  <c r="CB39" i="1"/>
  <c r="CB36" i="1"/>
  <c r="CB35" i="1"/>
  <c r="CB33" i="1"/>
  <c r="CB32" i="1"/>
  <c r="CB34" i="1"/>
  <c r="CB23" i="1"/>
  <c r="CB22" i="1"/>
  <c r="CB21" i="1"/>
  <c r="CB20" i="1"/>
  <c r="CB18" i="1"/>
  <c r="CB17" i="1"/>
  <c r="CB19" i="1"/>
  <c r="CB16" i="1"/>
  <c r="CB15" i="1"/>
  <c r="CB13" i="1"/>
  <c r="CB12" i="1"/>
  <c r="CB14" i="1"/>
  <c r="CB11" i="1"/>
  <c r="CB10" i="1"/>
  <c r="CB8" i="1"/>
  <c r="CB7" i="1"/>
  <c r="CB9" i="1"/>
  <c r="CM306" i="1"/>
  <c r="CM294" i="1"/>
  <c r="CM293" i="1"/>
  <c r="CM292" i="1"/>
  <c r="CM291" i="1"/>
  <c r="CM289" i="1"/>
  <c r="CM284" i="1"/>
  <c r="CM282" i="1"/>
  <c r="CM278" i="1"/>
  <c r="CM277" i="1"/>
  <c r="CM275" i="1"/>
  <c r="CM274" i="1"/>
  <c r="CM273" i="1"/>
  <c r="CM272" i="1"/>
  <c r="CM267" i="1"/>
  <c r="CM266" i="1"/>
  <c r="CM265" i="1"/>
  <c r="CM264" i="1"/>
  <c r="CM258" i="1"/>
  <c r="CM257" i="1"/>
  <c r="CM256" i="1"/>
  <c r="CM255" i="1"/>
  <c r="CM254" i="1"/>
  <c r="CM253" i="1"/>
  <c r="CM252" i="1"/>
  <c r="CM245" i="1"/>
  <c r="CM246" i="1"/>
  <c r="CM244" i="1"/>
  <c r="CM199" i="1"/>
  <c r="CM198" i="1"/>
  <c r="CM197" i="1"/>
  <c r="CM196" i="1"/>
  <c r="CM195" i="1"/>
  <c r="CM194" i="1"/>
  <c r="CM200" i="1"/>
  <c r="CM207" i="1"/>
  <c r="CM208" i="1"/>
  <c r="CM206" i="1"/>
  <c r="CM205" i="1"/>
  <c r="CM204" i="1"/>
  <c r="CM203" i="1"/>
  <c r="CM202" i="1"/>
  <c r="CM201" i="1"/>
  <c r="CM159" i="1"/>
  <c r="CM158" i="1"/>
  <c r="CM157" i="1"/>
  <c r="CM150" i="1"/>
  <c r="CM151" i="1"/>
  <c r="CM149" i="1"/>
  <c r="CM148" i="1"/>
  <c r="CM141" i="1"/>
  <c r="CM140" i="1"/>
  <c r="CM139" i="1"/>
  <c r="CM119" i="1"/>
  <c r="CM121" i="1"/>
  <c r="CM133" i="1"/>
  <c r="CM131" i="1"/>
  <c r="CM104" i="1"/>
  <c r="CM103" i="1"/>
  <c r="CM286" i="1"/>
  <c r="CM285" i="1"/>
  <c r="BV497" i="1"/>
  <c r="BU497" i="1"/>
  <c r="BT497" i="1"/>
  <c r="BV496" i="1"/>
  <c r="BU496" i="1"/>
  <c r="BT496" i="1"/>
  <c r="BV495" i="1"/>
  <c r="BU495" i="1"/>
  <c r="BT495" i="1"/>
  <c r="BV494" i="1"/>
  <c r="BU494" i="1"/>
  <c r="BT494" i="1"/>
  <c r="BV493" i="1"/>
  <c r="BU493" i="1"/>
  <c r="BT493" i="1"/>
  <c r="BV492" i="1"/>
  <c r="BU492" i="1"/>
  <c r="BT492" i="1"/>
  <c r="BV491" i="1"/>
  <c r="BU491" i="1"/>
  <c r="BT491" i="1"/>
  <c r="BV490" i="1"/>
  <c r="BU490" i="1"/>
  <c r="BT490" i="1"/>
  <c r="BV489" i="1"/>
  <c r="BU489" i="1"/>
  <c r="BT489" i="1"/>
  <c r="BV488" i="1"/>
  <c r="BU488" i="1"/>
  <c r="BT488" i="1"/>
  <c r="BV487" i="1"/>
  <c r="BU487" i="1"/>
  <c r="BT487" i="1"/>
  <c r="BV486" i="1"/>
  <c r="BU486" i="1"/>
  <c r="BT486" i="1"/>
  <c r="BV485" i="1"/>
  <c r="BU485" i="1"/>
  <c r="BT485" i="1"/>
  <c r="BU484" i="1"/>
  <c r="BV483" i="1"/>
  <c r="BU483" i="1"/>
  <c r="BT483" i="1"/>
  <c r="BV482" i="1"/>
  <c r="BU482" i="1"/>
  <c r="BT482" i="1"/>
  <c r="BV481" i="1"/>
  <c r="BU481" i="1"/>
  <c r="BT481" i="1"/>
  <c r="BV480" i="1"/>
  <c r="BU480" i="1"/>
  <c r="BT480" i="1"/>
  <c r="BV479" i="1"/>
  <c r="BU479" i="1"/>
  <c r="BT479" i="1"/>
  <c r="BV478" i="1"/>
  <c r="BU478" i="1"/>
  <c r="BT478" i="1"/>
  <c r="BV477" i="1"/>
  <c r="BU477" i="1"/>
  <c r="BT477" i="1"/>
  <c r="BV476" i="1"/>
  <c r="BU476" i="1"/>
  <c r="BT476" i="1"/>
  <c r="BV475" i="1"/>
  <c r="BU475" i="1"/>
  <c r="BT475" i="1"/>
  <c r="BV474" i="1"/>
  <c r="BU474" i="1"/>
  <c r="BT474" i="1"/>
  <c r="BV473" i="1"/>
  <c r="BU473" i="1"/>
  <c r="BT473" i="1"/>
  <c r="BV472" i="1"/>
  <c r="BU472" i="1"/>
  <c r="BT472" i="1"/>
  <c r="BV471" i="1"/>
  <c r="BU471" i="1"/>
  <c r="BT471" i="1"/>
  <c r="BV470" i="1"/>
  <c r="BU470" i="1"/>
  <c r="BT470" i="1"/>
  <c r="BV469" i="1"/>
  <c r="BU469" i="1"/>
  <c r="BT469" i="1"/>
  <c r="BV468" i="1"/>
  <c r="BU468" i="1"/>
  <c r="BT468" i="1"/>
  <c r="BV467" i="1"/>
  <c r="BU467" i="1"/>
  <c r="BT467" i="1"/>
  <c r="BV466" i="1"/>
  <c r="BU466" i="1"/>
  <c r="BT466" i="1"/>
  <c r="BV465" i="1"/>
  <c r="BU465" i="1"/>
  <c r="BT465" i="1"/>
  <c r="BV464" i="1"/>
  <c r="BU464" i="1"/>
  <c r="BT464" i="1"/>
  <c r="BV463" i="1"/>
  <c r="BU463" i="1"/>
  <c r="BT463" i="1"/>
  <c r="BV462" i="1"/>
  <c r="BU462" i="1"/>
  <c r="BT462" i="1"/>
  <c r="BV461" i="1"/>
  <c r="BU461" i="1"/>
  <c r="BT461" i="1"/>
  <c r="BV460" i="1"/>
  <c r="BU460" i="1"/>
  <c r="BT460" i="1"/>
  <c r="BV459" i="1"/>
  <c r="BU459" i="1"/>
  <c r="BT459" i="1"/>
  <c r="BV458" i="1"/>
  <c r="BU458" i="1"/>
  <c r="BT458" i="1"/>
  <c r="BV457" i="1"/>
  <c r="BU457" i="1"/>
  <c r="BT457" i="1"/>
  <c r="BV456" i="1"/>
  <c r="BU456" i="1"/>
  <c r="BT456" i="1"/>
  <c r="BV455" i="1"/>
  <c r="BU455" i="1"/>
  <c r="BT455" i="1"/>
  <c r="BV454" i="1"/>
  <c r="BU454" i="1"/>
  <c r="BT454" i="1"/>
  <c r="BV453" i="1"/>
  <c r="BU453" i="1"/>
  <c r="BT453" i="1"/>
  <c r="BV452" i="1"/>
  <c r="BU452" i="1"/>
  <c r="BT452" i="1"/>
  <c r="BV451" i="1"/>
  <c r="BU451" i="1"/>
  <c r="BT451" i="1"/>
  <c r="BV450" i="1"/>
  <c r="BU450" i="1"/>
  <c r="BT450" i="1"/>
  <c r="BV449" i="1"/>
  <c r="BU449" i="1"/>
  <c r="BT449" i="1"/>
  <c r="BV448" i="1"/>
  <c r="BU448" i="1"/>
  <c r="BT448" i="1"/>
  <c r="BV447" i="1"/>
  <c r="BU447" i="1"/>
  <c r="BT447" i="1"/>
  <c r="BV446" i="1"/>
  <c r="BU446" i="1"/>
  <c r="BT446" i="1"/>
  <c r="BV445" i="1"/>
  <c r="BU445" i="1"/>
  <c r="BT445" i="1"/>
  <c r="BV444" i="1"/>
  <c r="BU444" i="1"/>
  <c r="BT444" i="1"/>
  <c r="BV443" i="1"/>
  <c r="BU443" i="1"/>
  <c r="BT443" i="1"/>
  <c r="BV442" i="1"/>
  <c r="BU442" i="1"/>
  <c r="BT442" i="1"/>
  <c r="BV441" i="1"/>
  <c r="BU441" i="1"/>
  <c r="BT441" i="1"/>
  <c r="BV440" i="1"/>
  <c r="BU440" i="1"/>
  <c r="BT440" i="1"/>
  <c r="BV439" i="1"/>
  <c r="BU439" i="1"/>
  <c r="BT439" i="1"/>
  <c r="BV438" i="1"/>
  <c r="BU438" i="1"/>
  <c r="BT438" i="1"/>
  <c r="BV437" i="1"/>
  <c r="BU437" i="1"/>
  <c r="BT437" i="1"/>
  <c r="BV436" i="1"/>
  <c r="BU436" i="1"/>
  <c r="BT436" i="1"/>
  <c r="BV435" i="1"/>
  <c r="BU435" i="1"/>
  <c r="BT435" i="1"/>
  <c r="BV434" i="1"/>
  <c r="BU434" i="1"/>
  <c r="BT434" i="1"/>
  <c r="BV433" i="1"/>
  <c r="BU433" i="1"/>
  <c r="BT433" i="1"/>
  <c r="BV432" i="1"/>
  <c r="BU432" i="1"/>
  <c r="BT432" i="1"/>
  <c r="BV431" i="1"/>
  <c r="BU431" i="1"/>
  <c r="BT431" i="1"/>
  <c r="BV430" i="1"/>
  <c r="BU430" i="1"/>
  <c r="BT430" i="1"/>
  <c r="BV429" i="1"/>
  <c r="BU429" i="1"/>
  <c r="BT429" i="1"/>
  <c r="BV428" i="1"/>
  <c r="BU428" i="1"/>
  <c r="BT428" i="1"/>
  <c r="BV427" i="1"/>
  <c r="BU427" i="1"/>
  <c r="BT427" i="1"/>
  <c r="BV426" i="1"/>
  <c r="BU426" i="1"/>
  <c r="BT426" i="1"/>
  <c r="BV425" i="1"/>
  <c r="BU425" i="1"/>
  <c r="BT425" i="1"/>
  <c r="BV424" i="1"/>
  <c r="BU424" i="1"/>
  <c r="BT424" i="1"/>
  <c r="BV423" i="1"/>
  <c r="BU423" i="1"/>
  <c r="BT423" i="1"/>
  <c r="BV422" i="1"/>
  <c r="BU422" i="1"/>
  <c r="BT422" i="1"/>
  <c r="BV421" i="1"/>
  <c r="BU421" i="1"/>
  <c r="BT421" i="1"/>
  <c r="BV420" i="1"/>
  <c r="BU420" i="1"/>
  <c r="BT420" i="1"/>
  <c r="BV419" i="1"/>
  <c r="BU419" i="1"/>
  <c r="BT419" i="1"/>
  <c r="BV418" i="1"/>
  <c r="BU418" i="1"/>
  <c r="BT418" i="1"/>
  <c r="BV417" i="1"/>
  <c r="BU417" i="1"/>
  <c r="BT417" i="1"/>
  <c r="BV416" i="1"/>
  <c r="BU416" i="1"/>
  <c r="BT416" i="1"/>
  <c r="BV415" i="1"/>
  <c r="BU415" i="1"/>
  <c r="BT415" i="1"/>
  <c r="BV414" i="1"/>
  <c r="BU414" i="1"/>
  <c r="BT414" i="1"/>
  <c r="BV413" i="1"/>
  <c r="BU413" i="1"/>
  <c r="BT413" i="1"/>
  <c r="BV412" i="1"/>
  <c r="BU412" i="1"/>
  <c r="BT412" i="1"/>
  <c r="BV411" i="1"/>
  <c r="BU411" i="1"/>
  <c r="BT411" i="1"/>
  <c r="BV410" i="1"/>
  <c r="BU410" i="1"/>
  <c r="BT410" i="1"/>
  <c r="BV406" i="1"/>
  <c r="BU406" i="1"/>
  <c r="BT406" i="1"/>
  <c r="BV405" i="1"/>
  <c r="BU405" i="1"/>
  <c r="BT405" i="1"/>
  <c r="BV404" i="1"/>
  <c r="BU404" i="1"/>
  <c r="BT404" i="1"/>
  <c r="BV403" i="1"/>
  <c r="BU403" i="1"/>
  <c r="BT403" i="1"/>
  <c r="BV402" i="1"/>
  <c r="BU402" i="1"/>
  <c r="BT402" i="1"/>
  <c r="BV401" i="1"/>
  <c r="BU401" i="1"/>
  <c r="BT401" i="1"/>
  <c r="BV400" i="1"/>
  <c r="BU400" i="1"/>
  <c r="BT400" i="1"/>
  <c r="BV399" i="1"/>
  <c r="BU399" i="1"/>
  <c r="BT399" i="1"/>
  <c r="BV398" i="1"/>
  <c r="BU398" i="1"/>
  <c r="BT398" i="1"/>
  <c r="BV397" i="1"/>
  <c r="BU397" i="1"/>
  <c r="BT397" i="1"/>
  <c r="BV396" i="1"/>
  <c r="BU396" i="1"/>
  <c r="BT396" i="1"/>
  <c r="BV395" i="1"/>
  <c r="BU395" i="1"/>
  <c r="BT395" i="1"/>
  <c r="BV394" i="1"/>
  <c r="BU394" i="1"/>
  <c r="BT394" i="1"/>
  <c r="BV393" i="1"/>
  <c r="BU393" i="1"/>
  <c r="BT393" i="1"/>
  <c r="BV392" i="1"/>
  <c r="BU392" i="1"/>
  <c r="BT392" i="1"/>
  <c r="BV391" i="1"/>
  <c r="BU391" i="1"/>
  <c r="BT391" i="1"/>
  <c r="BV390" i="1"/>
  <c r="BU390" i="1"/>
  <c r="BT390" i="1"/>
  <c r="BV389" i="1"/>
  <c r="BU389" i="1"/>
  <c r="BT389" i="1"/>
  <c r="BV388" i="1"/>
  <c r="BU388" i="1"/>
  <c r="BT388" i="1"/>
  <c r="BV387" i="1"/>
  <c r="BU387" i="1"/>
  <c r="BT387" i="1"/>
  <c r="BV386" i="1"/>
  <c r="BU386" i="1"/>
  <c r="BT386" i="1"/>
  <c r="BV385" i="1"/>
  <c r="BU385" i="1"/>
  <c r="BT385" i="1"/>
  <c r="BV384" i="1"/>
  <c r="BU384" i="1"/>
  <c r="BT384" i="1"/>
  <c r="BV383" i="1"/>
  <c r="BU383" i="1"/>
  <c r="BT383" i="1"/>
  <c r="BV382" i="1"/>
  <c r="BU382" i="1"/>
  <c r="BT382" i="1"/>
  <c r="BV381" i="1"/>
  <c r="BU381" i="1"/>
  <c r="BT381" i="1"/>
  <c r="BV380" i="1"/>
  <c r="BU380" i="1"/>
  <c r="BT380" i="1"/>
  <c r="BV379" i="1"/>
  <c r="BU379" i="1"/>
  <c r="BT379" i="1"/>
  <c r="BV377" i="1"/>
  <c r="BU377" i="1"/>
  <c r="BT377" i="1"/>
  <c r="BV376" i="1"/>
  <c r="BU376" i="1"/>
  <c r="BT376" i="1"/>
  <c r="BV375" i="1"/>
  <c r="BU375" i="1"/>
  <c r="BT375" i="1"/>
  <c r="BV374" i="1"/>
  <c r="BU374" i="1"/>
  <c r="BT374" i="1"/>
  <c r="BV373" i="1"/>
  <c r="BU373" i="1"/>
  <c r="BT373" i="1"/>
  <c r="BV378" i="1"/>
  <c r="BU378" i="1"/>
  <c r="BT378" i="1"/>
  <c r="BV372" i="1"/>
  <c r="BU372" i="1"/>
  <c r="BT372" i="1"/>
  <c r="BV371" i="1"/>
  <c r="BU371" i="1"/>
  <c r="BT371" i="1"/>
  <c r="BV370" i="1"/>
  <c r="BU370" i="1"/>
  <c r="BT370" i="1"/>
  <c r="BV369" i="1"/>
  <c r="BU369" i="1"/>
  <c r="BT369" i="1"/>
  <c r="BV368" i="1"/>
  <c r="BU368" i="1"/>
  <c r="BT368" i="1"/>
  <c r="BV367" i="1"/>
  <c r="BU367" i="1"/>
  <c r="BT367" i="1"/>
  <c r="BV366" i="1"/>
  <c r="BU366" i="1"/>
  <c r="BT366" i="1"/>
  <c r="BV365" i="1"/>
  <c r="BU365" i="1"/>
  <c r="BT365" i="1"/>
  <c r="BV364" i="1"/>
  <c r="BU364" i="1"/>
  <c r="BT364" i="1"/>
  <c r="BV363" i="1"/>
  <c r="BU363" i="1"/>
  <c r="BT363" i="1"/>
  <c r="BV362" i="1"/>
  <c r="BU362" i="1"/>
  <c r="BT362" i="1"/>
  <c r="BV361" i="1"/>
  <c r="BU361" i="1"/>
  <c r="BT361" i="1"/>
  <c r="BV360" i="1"/>
  <c r="BU360" i="1"/>
  <c r="BT360" i="1"/>
  <c r="BV359" i="1"/>
  <c r="BU359" i="1"/>
  <c r="BT359" i="1"/>
  <c r="BV358" i="1"/>
  <c r="BU358" i="1"/>
  <c r="BT358" i="1"/>
  <c r="BV357" i="1"/>
  <c r="BU357" i="1"/>
  <c r="BT357" i="1"/>
  <c r="BV356" i="1"/>
  <c r="BU356" i="1"/>
  <c r="BT356" i="1"/>
  <c r="BV355" i="1"/>
  <c r="BU355" i="1"/>
  <c r="BT355" i="1"/>
  <c r="BV354" i="1"/>
  <c r="BU354" i="1"/>
  <c r="BT354" i="1"/>
  <c r="BV353" i="1"/>
  <c r="BU353" i="1"/>
  <c r="BT353" i="1"/>
  <c r="BV352" i="1"/>
  <c r="BU352" i="1"/>
  <c r="BT352" i="1"/>
  <c r="BV351" i="1"/>
  <c r="BU351" i="1"/>
  <c r="BT351" i="1"/>
  <c r="BV350" i="1"/>
  <c r="BU350" i="1"/>
  <c r="BT350" i="1"/>
  <c r="BV349" i="1"/>
  <c r="BU349" i="1"/>
  <c r="BT349" i="1"/>
  <c r="BV348" i="1"/>
  <c r="BU348" i="1"/>
  <c r="BT348" i="1"/>
  <c r="BV347" i="1"/>
  <c r="BU347" i="1"/>
  <c r="BT347" i="1"/>
  <c r="BV346" i="1"/>
  <c r="BU346" i="1"/>
  <c r="BT346" i="1"/>
  <c r="BV345" i="1"/>
  <c r="BU345" i="1"/>
  <c r="BT345" i="1"/>
  <c r="BV344" i="1"/>
  <c r="BU344" i="1"/>
  <c r="BT344" i="1"/>
  <c r="BV343" i="1"/>
  <c r="BU343" i="1"/>
  <c r="BT343" i="1"/>
  <c r="BV342" i="1"/>
  <c r="BU342" i="1"/>
  <c r="BT342" i="1"/>
  <c r="BV341" i="1"/>
  <c r="BU341" i="1"/>
  <c r="BT341" i="1"/>
  <c r="BV340" i="1"/>
  <c r="BU340" i="1"/>
  <c r="BT340" i="1"/>
  <c r="BV339" i="1"/>
  <c r="BU339" i="1"/>
  <c r="BT339" i="1"/>
  <c r="BV338" i="1"/>
  <c r="BU338" i="1"/>
  <c r="BT338" i="1"/>
  <c r="BV337" i="1"/>
  <c r="BU337" i="1"/>
  <c r="BT337" i="1"/>
  <c r="BV336" i="1"/>
  <c r="BU336" i="1"/>
  <c r="BT336" i="1"/>
  <c r="BV335" i="1"/>
  <c r="BU335" i="1"/>
  <c r="BT335" i="1"/>
  <c r="BV334" i="1"/>
  <c r="BU334" i="1"/>
  <c r="BT334" i="1"/>
  <c r="BV333" i="1"/>
  <c r="BU333" i="1"/>
  <c r="BT333" i="1"/>
  <c r="BV332" i="1"/>
  <c r="BU332" i="1"/>
  <c r="BT332" i="1"/>
  <c r="BV331" i="1"/>
  <c r="BU331" i="1"/>
  <c r="BT331" i="1"/>
  <c r="BV330" i="1"/>
  <c r="BU330" i="1"/>
  <c r="BT330" i="1"/>
  <c r="BV329" i="1"/>
  <c r="BU329" i="1"/>
  <c r="BT329" i="1"/>
  <c r="BV328" i="1"/>
  <c r="BU328" i="1"/>
  <c r="BT328" i="1"/>
  <c r="BV327" i="1"/>
  <c r="BU327" i="1"/>
  <c r="BT327" i="1"/>
  <c r="BV326" i="1"/>
  <c r="BU326" i="1"/>
  <c r="BT326" i="1"/>
  <c r="BV325" i="1"/>
  <c r="BU325" i="1"/>
  <c r="BT325" i="1"/>
  <c r="BV324" i="1"/>
  <c r="BU324" i="1"/>
  <c r="BT324" i="1"/>
  <c r="BV323" i="1"/>
  <c r="BU323" i="1"/>
  <c r="BT323" i="1"/>
  <c r="BV322" i="1"/>
  <c r="BU322" i="1"/>
  <c r="BT322" i="1"/>
  <c r="BV321" i="1"/>
  <c r="BU321" i="1"/>
  <c r="BT321" i="1"/>
  <c r="BV320" i="1"/>
  <c r="BU320" i="1"/>
  <c r="BT320" i="1"/>
  <c r="BV307" i="1"/>
  <c r="BU307" i="1"/>
  <c r="BT307" i="1"/>
  <c r="BV306" i="1"/>
  <c r="BU306" i="1"/>
  <c r="BT306" i="1"/>
  <c r="BV305" i="1"/>
  <c r="BU305" i="1"/>
  <c r="BT305" i="1"/>
  <c r="BV304" i="1"/>
  <c r="BU304" i="1"/>
  <c r="BT304" i="1"/>
  <c r="BV303" i="1"/>
  <c r="BU303" i="1"/>
  <c r="BT303" i="1"/>
  <c r="BV302" i="1"/>
  <c r="BU302" i="1"/>
  <c r="BT302" i="1"/>
  <c r="BV301" i="1"/>
  <c r="BU301" i="1"/>
  <c r="BT301" i="1"/>
  <c r="BV299" i="1"/>
  <c r="BU299" i="1"/>
  <c r="BT299" i="1"/>
  <c r="BV298" i="1"/>
  <c r="BU298" i="1"/>
  <c r="BT298" i="1"/>
  <c r="BV297" i="1"/>
  <c r="BU297" i="1"/>
  <c r="BT297" i="1"/>
  <c r="BV296" i="1"/>
  <c r="BU296" i="1"/>
  <c r="BT296" i="1"/>
  <c r="BV295" i="1"/>
  <c r="BU295" i="1"/>
  <c r="BT295" i="1"/>
  <c r="BV294" i="1"/>
  <c r="BU294" i="1"/>
  <c r="BT294" i="1"/>
  <c r="BV293" i="1"/>
  <c r="BU293" i="1"/>
  <c r="BT293" i="1"/>
  <c r="BV292" i="1"/>
  <c r="BU292" i="1"/>
  <c r="BT292" i="1"/>
  <c r="BV291" i="1"/>
  <c r="BU291" i="1"/>
  <c r="BT291" i="1"/>
  <c r="BV290" i="1"/>
  <c r="BU290" i="1"/>
  <c r="BT290" i="1"/>
  <c r="BV289" i="1"/>
  <c r="BU289" i="1"/>
  <c r="BT289" i="1"/>
  <c r="BV288" i="1"/>
  <c r="BU288" i="1"/>
  <c r="BT288" i="1"/>
  <c r="BV287" i="1"/>
  <c r="BU287" i="1"/>
  <c r="BT287" i="1"/>
  <c r="BV286" i="1"/>
  <c r="BU286" i="1"/>
  <c r="BT286" i="1"/>
  <c r="BV285" i="1"/>
  <c r="BU285" i="1"/>
  <c r="BT285" i="1"/>
  <c r="BV284" i="1"/>
  <c r="BU284" i="1"/>
  <c r="BT284" i="1"/>
  <c r="BV283" i="1"/>
  <c r="BU283" i="1"/>
  <c r="BT283" i="1"/>
  <c r="BV282" i="1"/>
  <c r="BU282" i="1"/>
  <c r="BT282" i="1"/>
  <c r="BV281" i="1"/>
  <c r="BU281" i="1"/>
  <c r="BT281" i="1"/>
  <c r="BV280" i="1"/>
  <c r="BU280" i="1"/>
  <c r="BT280" i="1"/>
  <c r="BV279" i="1"/>
  <c r="BU279" i="1"/>
  <c r="BT279" i="1"/>
  <c r="BV278" i="1"/>
  <c r="BU278" i="1"/>
  <c r="BT278" i="1"/>
  <c r="BV277" i="1"/>
  <c r="BU277" i="1"/>
  <c r="BT277" i="1"/>
  <c r="BV276" i="1"/>
  <c r="BU276" i="1"/>
  <c r="BT276" i="1"/>
  <c r="BV275" i="1"/>
  <c r="BU275" i="1"/>
  <c r="BT275" i="1"/>
  <c r="BV274" i="1"/>
  <c r="BU274" i="1"/>
  <c r="BT274" i="1"/>
  <c r="BV273" i="1"/>
  <c r="BU273" i="1"/>
  <c r="BT273" i="1"/>
  <c r="BV272" i="1"/>
  <c r="BU272" i="1"/>
  <c r="BT272" i="1"/>
  <c r="BV271" i="1"/>
  <c r="BU271" i="1"/>
  <c r="BT271" i="1"/>
  <c r="BV270" i="1"/>
  <c r="BU270" i="1"/>
  <c r="BT270" i="1"/>
  <c r="BV269" i="1"/>
  <c r="BU269" i="1"/>
  <c r="BT269" i="1"/>
  <c r="BV268" i="1"/>
  <c r="BU268" i="1"/>
  <c r="BT268" i="1"/>
  <c r="BV267" i="1"/>
  <c r="BU267" i="1"/>
  <c r="BT267" i="1"/>
  <c r="BV266" i="1"/>
  <c r="BU266" i="1"/>
  <c r="BT266" i="1"/>
  <c r="BV265" i="1"/>
  <c r="BU265" i="1"/>
  <c r="BT265" i="1"/>
  <c r="BV264" i="1"/>
  <c r="BU264" i="1"/>
  <c r="BT264" i="1"/>
  <c r="BV263" i="1"/>
  <c r="BU263" i="1"/>
  <c r="BT263" i="1"/>
  <c r="BV262" i="1"/>
  <c r="BU262" i="1"/>
  <c r="BT262" i="1"/>
  <c r="BV261" i="1"/>
  <c r="BU261" i="1"/>
  <c r="BT261" i="1"/>
  <c r="BV260" i="1"/>
  <c r="BU260" i="1"/>
  <c r="BT260" i="1"/>
  <c r="BV259" i="1"/>
  <c r="BU259" i="1"/>
  <c r="BT259" i="1"/>
  <c r="BV258" i="1"/>
  <c r="BU258" i="1"/>
  <c r="BT258" i="1"/>
  <c r="BV257" i="1"/>
  <c r="BU257" i="1"/>
  <c r="BT257" i="1"/>
  <c r="BV256" i="1"/>
  <c r="BU256" i="1"/>
  <c r="BT256" i="1"/>
  <c r="BV255" i="1"/>
  <c r="BU255" i="1"/>
  <c r="BT255" i="1"/>
  <c r="BV254" i="1"/>
  <c r="BU254" i="1"/>
  <c r="BT254" i="1"/>
  <c r="BV253" i="1"/>
  <c r="BU253" i="1"/>
  <c r="BT253" i="1"/>
  <c r="BV252" i="1"/>
  <c r="BU252" i="1"/>
  <c r="BT252" i="1"/>
  <c r="BV251" i="1"/>
  <c r="BU251" i="1"/>
  <c r="BT251" i="1"/>
  <c r="BV250" i="1"/>
  <c r="BU250" i="1"/>
  <c r="BT250" i="1"/>
  <c r="BV249" i="1"/>
  <c r="BU249" i="1"/>
  <c r="BT249" i="1"/>
  <c r="BV248" i="1"/>
  <c r="BU248" i="1"/>
  <c r="BT248" i="1"/>
  <c r="BV247" i="1"/>
  <c r="BU247" i="1"/>
  <c r="BT247" i="1"/>
  <c r="BV246" i="1"/>
  <c r="BU246" i="1"/>
  <c r="BT246" i="1"/>
  <c r="BV245" i="1"/>
  <c r="BU245" i="1"/>
  <c r="BT245" i="1"/>
  <c r="BV244" i="1"/>
  <c r="BU244" i="1"/>
  <c r="BT244" i="1"/>
  <c r="BV243" i="1"/>
  <c r="BU243" i="1"/>
  <c r="BT243" i="1"/>
  <c r="BV242" i="1"/>
  <c r="BU242" i="1"/>
  <c r="BT242" i="1"/>
  <c r="BV241" i="1"/>
  <c r="BU241" i="1"/>
  <c r="BT241" i="1"/>
  <c r="BV240" i="1"/>
  <c r="BU240" i="1"/>
  <c r="BT240" i="1"/>
  <c r="BV239" i="1"/>
  <c r="BU239" i="1"/>
  <c r="BT239" i="1"/>
  <c r="BV238" i="1"/>
  <c r="BU238" i="1"/>
  <c r="BT238" i="1"/>
  <c r="BV237" i="1"/>
  <c r="BU237" i="1"/>
  <c r="BT237" i="1"/>
  <c r="BV236" i="1"/>
  <c r="BU236" i="1"/>
  <c r="BT236" i="1"/>
  <c r="BV235" i="1"/>
  <c r="BU235" i="1"/>
  <c r="BT235" i="1"/>
  <c r="BV234" i="1"/>
  <c r="BU234" i="1"/>
  <c r="BT234" i="1"/>
  <c r="BV233" i="1"/>
  <c r="BU233" i="1"/>
  <c r="BT233" i="1"/>
  <c r="BV232" i="1"/>
  <c r="BU232" i="1"/>
  <c r="BT232" i="1"/>
  <c r="BV231" i="1"/>
  <c r="BU231" i="1"/>
  <c r="BT231" i="1"/>
  <c r="BV230" i="1"/>
  <c r="BU230" i="1"/>
  <c r="BT230" i="1"/>
  <c r="BV229" i="1"/>
  <c r="BU229" i="1"/>
  <c r="BT229" i="1"/>
  <c r="BV228" i="1"/>
  <c r="BU228" i="1"/>
  <c r="BT228" i="1"/>
  <c r="BV227" i="1"/>
  <c r="BU227" i="1"/>
  <c r="BT227" i="1"/>
  <c r="BV226" i="1"/>
  <c r="BU226" i="1"/>
  <c r="BT226" i="1"/>
  <c r="BV224" i="1"/>
  <c r="BU224" i="1"/>
  <c r="BT224" i="1"/>
  <c r="BV223" i="1"/>
  <c r="BU223" i="1"/>
  <c r="BT223" i="1"/>
  <c r="BV222" i="1"/>
  <c r="BU222" i="1"/>
  <c r="BT222" i="1"/>
  <c r="BV221" i="1"/>
  <c r="BU221" i="1"/>
  <c r="BT221" i="1"/>
  <c r="BV220" i="1"/>
  <c r="BU220" i="1"/>
  <c r="BT220" i="1"/>
  <c r="BV225" i="1"/>
  <c r="BU225" i="1"/>
  <c r="BT225" i="1"/>
  <c r="BV219" i="1"/>
  <c r="BU219" i="1"/>
  <c r="BT219" i="1"/>
  <c r="BV218" i="1"/>
  <c r="BU218" i="1"/>
  <c r="BT218" i="1"/>
  <c r="BV217" i="1"/>
  <c r="BU217" i="1"/>
  <c r="BT217" i="1"/>
  <c r="BV216" i="1"/>
  <c r="BU216" i="1"/>
  <c r="BT216" i="1"/>
  <c r="BV215" i="1"/>
  <c r="BU215" i="1"/>
  <c r="BT215" i="1"/>
  <c r="BV214" i="1"/>
  <c r="BU214" i="1"/>
  <c r="BT214" i="1"/>
  <c r="BV213" i="1"/>
  <c r="BU213" i="1"/>
  <c r="BT213" i="1"/>
  <c r="BV212" i="1"/>
  <c r="BU212" i="1"/>
  <c r="BT212" i="1"/>
  <c r="BV211" i="1"/>
  <c r="BU211" i="1"/>
  <c r="BT211" i="1"/>
  <c r="BV210" i="1"/>
  <c r="BU210" i="1"/>
  <c r="BT210" i="1"/>
  <c r="BV209" i="1"/>
  <c r="BU209" i="1"/>
  <c r="BT209" i="1"/>
  <c r="BV206" i="1"/>
  <c r="BU206" i="1"/>
  <c r="BT206" i="1"/>
  <c r="BV205" i="1"/>
  <c r="BU205" i="1"/>
  <c r="BT205" i="1"/>
  <c r="BV204" i="1"/>
  <c r="BU204" i="1"/>
  <c r="BT204" i="1"/>
  <c r="BV208" i="1"/>
  <c r="BU208" i="1"/>
  <c r="BT208" i="1"/>
  <c r="BV207" i="1"/>
  <c r="BU207" i="1"/>
  <c r="BT207" i="1"/>
  <c r="BV203" i="1"/>
  <c r="BU203" i="1"/>
  <c r="BT203" i="1"/>
  <c r="BV202" i="1"/>
  <c r="BU202" i="1"/>
  <c r="BT202" i="1"/>
  <c r="BV201" i="1"/>
  <c r="BU201" i="1"/>
  <c r="BT201" i="1"/>
  <c r="BV199" i="1"/>
  <c r="BU199" i="1"/>
  <c r="BT199" i="1"/>
  <c r="BV198" i="1"/>
  <c r="BU198" i="1"/>
  <c r="BT198" i="1"/>
  <c r="BV197" i="1"/>
  <c r="BU197" i="1"/>
  <c r="BT197" i="1"/>
  <c r="BV200" i="1"/>
  <c r="BU200" i="1"/>
  <c r="BT200" i="1"/>
  <c r="BV196" i="1"/>
  <c r="BU196" i="1"/>
  <c r="BT196" i="1"/>
  <c r="BV195" i="1"/>
  <c r="BU195" i="1"/>
  <c r="BT195" i="1"/>
  <c r="BV194" i="1"/>
  <c r="BU194" i="1"/>
  <c r="BT194" i="1"/>
  <c r="BV191" i="1"/>
  <c r="BU191" i="1"/>
  <c r="BT191" i="1"/>
  <c r="BV190" i="1"/>
  <c r="BU190" i="1"/>
  <c r="BT190" i="1"/>
  <c r="BV189" i="1"/>
  <c r="BU189" i="1"/>
  <c r="BT189" i="1"/>
  <c r="BV193" i="1"/>
  <c r="BU193" i="1"/>
  <c r="BT193" i="1"/>
  <c r="BV192" i="1"/>
  <c r="BU192" i="1"/>
  <c r="BT192" i="1"/>
  <c r="BV188" i="1"/>
  <c r="BU188" i="1"/>
  <c r="BT188" i="1"/>
  <c r="BV187" i="1"/>
  <c r="BU187" i="1"/>
  <c r="BT187" i="1"/>
  <c r="BV186" i="1"/>
  <c r="BU186" i="1"/>
  <c r="BT186" i="1"/>
  <c r="BV185" i="1"/>
  <c r="BU185" i="1"/>
  <c r="BT185" i="1"/>
  <c r="BV184" i="1"/>
  <c r="BU184" i="1"/>
  <c r="BT184" i="1"/>
  <c r="BV181" i="1"/>
  <c r="BU181" i="1"/>
  <c r="BT181" i="1"/>
  <c r="BV180" i="1"/>
  <c r="BU180" i="1"/>
  <c r="BT180" i="1"/>
  <c r="BV179" i="1"/>
  <c r="BU179" i="1"/>
  <c r="BT179" i="1"/>
  <c r="BV183" i="1"/>
  <c r="BU183" i="1"/>
  <c r="BT183" i="1"/>
  <c r="BV182" i="1"/>
  <c r="BU182" i="1"/>
  <c r="BT182" i="1"/>
  <c r="BV178" i="1"/>
  <c r="BU178" i="1"/>
  <c r="BT178" i="1"/>
  <c r="BV177" i="1"/>
  <c r="BU177" i="1"/>
  <c r="BT177" i="1"/>
  <c r="BV176" i="1"/>
  <c r="BU176" i="1"/>
  <c r="BT176" i="1"/>
  <c r="BV175" i="1"/>
  <c r="BU175" i="1"/>
  <c r="BT175" i="1"/>
  <c r="BV174" i="1"/>
  <c r="BU174" i="1"/>
  <c r="BT174" i="1"/>
  <c r="BV160" i="1"/>
  <c r="BU160" i="1"/>
  <c r="BT160" i="1"/>
  <c r="BV159" i="1"/>
  <c r="BU159" i="1"/>
  <c r="BT159" i="1"/>
  <c r="BV158" i="1"/>
  <c r="BU158" i="1"/>
  <c r="BT158" i="1"/>
  <c r="BV157" i="1"/>
  <c r="BU157" i="1"/>
  <c r="BT157" i="1"/>
  <c r="BV156" i="1"/>
  <c r="BU156" i="1"/>
  <c r="BT156" i="1"/>
  <c r="BV151" i="1"/>
  <c r="BU151" i="1"/>
  <c r="BT151" i="1"/>
  <c r="BV150" i="1"/>
  <c r="BU150" i="1"/>
  <c r="BT150" i="1"/>
  <c r="BV149" i="1"/>
  <c r="BU149" i="1"/>
  <c r="BT149" i="1"/>
  <c r="BV148" i="1"/>
  <c r="BU148" i="1"/>
  <c r="BT148" i="1"/>
  <c r="BV147" i="1"/>
  <c r="BU147" i="1"/>
  <c r="BT147" i="1"/>
  <c r="BV146" i="1"/>
  <c r="BU146" i="1"/>
  <c r="BT146" i="1"/>
  <c r="BV142" i="1"/>
  <c r="BU142" i="1"/>
  <c r="BT142" i="1"/>
  <c r="BV141" i="1"/>
  <c r="BU141" i="1"/>
  <c r="BT141" i="1"/>
  <c r="BV140" i="1"/>
  <c r="BU140" i="1"/>
  <c r="BT140" i="1"/>
  <c r="BV139" i="1"/>
  <c r="BU139" i="1"/>
  <c r="BT139" i="1"/>
  <c r="BV138" i="1"/>
  <c r="BU138" i="1"/>
  <c r="BT138" i="1"/>
  <c r="BV133" i="1"/>
  <c r="BU133" i="1"/>
  <c r="BT133" i="1"/>
  <c r="BV132" i="1"/>
  <c r="BU132" i="1"/>
  <c r="BT132" i="1"/>
  <c r="BV131" i="1"/>
  <c r="BU131" i="1"/>
  <c r="BT131" i="1"/>
  <c r="BV130" i="1"/>
  <c r="BU130" i="1"/>
  <c r="BT130" i="1"/>
  <c r="BV129" i="1"/>
  <c r="BU129" i="1"/>
  <c r="BT129" i="1"/>
  <c r="BV128" i="1"/>
  <c r="BU128" i="1"/>
  <c r="BT128" i="1"/>
  <c r="BV124" i="1"/>
  <c r="BU124" i="1"/>
  <c r="BT124" i="1"/>
  <c r="BV123" i="1"/>
  <c r="BU123" i="1"/>
  <c r="BT123" i="1"/>
  <c r="BV122" i="1"/>
  <c r="BU122" i="1"/>
  <c r="BT122" i="1"/>
  <c r="BV121" i="1"/>
  <c r="BU121" i="1"/>
  <c r="BT121" i="1"/>
  <c r="BV120" i="1"/>
  <c r="BU120" i="1"/>
  <c r="BT120" i="1"/>
  <c r="BV119" i="1"/>
  <c r="BU119" i="1"/>
  <c r="BT119" i="1"/>
  <c r="BV114" i="1"/>
  <c r="BU114" i="1"/>
  <c r="BT114" i="1"/>
  <c r="BV113" i="1"/>
  <c r="BU113" i="1"/>
  <c r="BT113" i="1"/>
  <c r="BV112" i="1"/>
  <c r="BU112" i="1"/>
  <c r="BT112" i="1"/>
  <c r="BV111" i="1"/>
  <c r="BU111" i="1"/>
  <c r="BT111" i="1"/>
  <c r="BV110" i="1"/>
  <c r="BU110" i="1"/>
  <c r="BT110" i="1"/>
  <c r="BV109" i="1"/>
  <c r="BU109" i="1"/>
  <c r="BT109" i="1"/>
  <c r="BV105" i="1"/>
  <c r="BU105" i="1"/>
  <c r="BT105" i="1"/>
  <c r="BV104" i="1"/>
  <c r="BU104" i="1"/>
  <c r="BT104" i="1"/>
  <c r="BV103" i="1"/>
  <c r="BU103" i="1"/>
  <c r="BT103" i="1"/>
  <c r="BV102" i="1"/>
  <c r="BU102" i="1"/>
  <c r="BT102" i="1"/>
  <c r="BV101" i="1"/>
  <c r="BU101" i="1"/>
  <c r="BT101" i="1"/>
  <c r="BV96" i="1"/>
  <c r="BU96" i="1"/>
  <c r="BT96" i="1"/>
  <c r="BV95" i="1"/>
  <c r="BU95" i="1"/>
  <c r="BT95" i="1"/>
  <c r="BV94" i="1"/>
  <c r="BU94" i="1"/>
  <c r="BT94" i="1"/>
  <c r="BV93" i="1"/>
  <c r="BU93" i="1"/>
  <c r="BT93" i="1"/>
  <c r="BV92" i="1"/>
  <c r="BU92" i="1"/>
  <c r="BT92" i="1"/>
  <c r="BV91" i="1"/>
  <c r="BU91" i="1"/>
  <c r="BT91" i="1"/>
  <c r="BV85" i="1"/>
  <c r="BU85" i="1"/>
  <c r="BT85" i="1"/>
  <c r="BV84" i="1"/>
  <c r="BU84" i="1"/>
  <c r="BT84" i="1"/>
  <c r="BV83" i="1"/>
  <c r="BU83" i="1"/>
  <c r="BT83" i="1"/>
  <c r="BV82" i="1"/>
  <c r="BU82" i="1"/>
  <c r="BT82" i="1"/>
  <c r="BV81" i="1"/>
  <c r="BU81" i="1"/>
  <c r="BT81" i="1"/>
  <c r="BV80" i="1"/>
  <c r="BU80" i="1"/>
  <c r="BT80" i="1"/>
  <c r="BV79" i="1"/>
  <c r="BU79" i="1"/>
  <c r="BT79" i="1"/>
  <c r="BV78" i="1"/>
  <c r="BU78" i="1"/>
  <c r="BT78" i="1"/>
  <c r="BV77" i="1"/>
  <c r="BU77" i="1"/>
  <c r="BT77" i="1"/>
  <c r="BV76" i="1"/>
  <c r="BU76" i="1"/>
  <c r="BT76" i="1"/>
  <c r="BV75" i="1"/>
  <c r="BU75" i="1"/>
  <c r="BT75" i="1"/>
  <c r="BV74" i="1"/>
  <c r="BU74" i="1"/>
  <c r="BT74" i="1"/>
  <c r="BV73" i="1"/>
  <c r="BU73" i="1"/>
  <c r="BT73" i="1"/>
  <c r="BV72" i="1"/>
  <c r="BU72" i="1"/>
  <c r="BT72" i="1"/>
  <c r="BV71" i="1"/>
  <c r="BU71" i="1"/>
  <c r="BT71" i="1"/>
  <c r="BV70" i="1"/>
  <c r="BU70" i="1"/>
  <c r="BT70" i="1"/>
  <c r="BV69" i="1"/>
  <c r="BU69" i="1"/>
  <c r="BT69" i="1"/>
  <c r="BV68" i="1"/>
  <c r="BU68" i="1"/>
  <c r="BT68" i="1"/>
  <c r="BV67" i="1"/>
  <c r="BU67" i="1"/>
  <c r="BT67" i="1"/>
  <c r="BV66" i="1"/>
  <c r="BU66" i="1"/>
  <c r="BT66" i="1"/>
  <c r="BV65" i="1"/>
  <c r="BU65" i="1"/>
  <c r="BT65" i="1"/>
  <c r="BV64" i="1"/>
  <c r="BU64" i="1"/>
  <c r="BT64" i="1"/>
  <c r="BV63" i="1"/>
  <c r="BU63" i="1"/>
  <c r="BT63" i="1"/>
  <c r="BV62" i="1"/>
  <c r="BU62" i="1"/>
  <c r="BT62" i="1"/>
  <c r="BV61" i="1"/>
  <c r="BU61" i="1"/>
  <c r="BT61" i="1"/>
  <c r="BV60" i="1"/>
  <c r="BU60" i="1"/>
  <c r="BT60" i="1"/>
  <c r="BV59" i="1"/>
  <c r="BU59" i="1"/>
  <c r="BT59" i="1"/>
  <c r="BV58" i="1"/>
  <c r="BU58" i="1"/>
  <c r="BT58" i="1"/>
  <c r="BV57" i="1"/>
  <c r="BU57" i="1"/>
  <c r="BT57" i="1"/>
  <c r="BV56" i="1"/>
  <c r="BU56" i="1"/>
  <c r="BT56" i="1"/>
  <c r="BV55" i="1"/>
  <c r="BU55" i="1"/>
  <c r="BT55" i="1"/>
  <c r="BV54" i="1"/>
  <c r="BU54" i="1"/>
  <c r="BT54" i="1"/>
  <c r="BV53" i="1"/>
  <c r="BU53" i="1"/>
  <c r="BT53" i="1"/>
  <c r="BV52" i="1"/>
  <c r="BU52" i="1"/>
  <c r="BT52" i="1"/>
  <c r="BV51" i="1"/>
  <c r="BU51" i="1"/>
  <c r="BT51" i="1"/>
  <c r="BV50" i="1"/>
  <c r="BU50" i="1"/>
  <c r="BT50" i="1"/>
  <c r="BV49" i="1"/>
  <c r="BU49" i="1"/>
  <c r="BT49" i="1"/>
  <c r="BV48" i="1"/>
  <c r="BU48" i="1"/>
  <c r="BT48" i="1"/>
  <c r="BV47" i="1"/>
  <c r="BU47" i="1"/>
  <c r="BT47" i="1"/>
  <c r="BV46" i="1"/>
  <c r="BU46" i="1"/>
  <c r="BT46" i="1"/>
  <c r="BV45" i="1"/>
  <c r="BU45" i="1"/>
  <c r="BT45" i="1"/>
  <c r="BV43" i="1"/>
  <c r="BU43" i="1"/>
  <c r="BT43" i="1"/>
  <c r="BV42" i="1"/>
  <c r="BU42" i="1"/>
  <c r="BT42" i="1"/>
  <c r="BV44" i="1"/>
  <c r="BU44" i="1"/>
  <c r="BT44" i="1"/>
  <c r="BV41" i="1"/>
  <c r="BU41" i="1"/>
  <c r="BT41" i="1"/>
  <c r="BV40" i="1"/>
  <c r="BU40" i="1"/>
  <c r="BT40" i="1"/>
  <c r="BV38" i="1"/>
  <c r="BU38" i="1"/>
  <c r="BT38" i="1"/>
  <c r="BV37" i="1"/>
  <c r="BU37" i="1"/>
  <c r="BT37" i="1"/>
  <c r="BV39" i="1"/>
  <c r="BU39" i="1"/>
  <c r="BT39" i="1"/>
  <c r="BV36" i="1"/>
  <c r="BU36" i="1"/>
  <c r="BT36" i="1"/>
  <c r="BV35" i="1"/>
  <c r="BU35" i="1"/>
  <c r="BT35" i="1"/>
  <c r="BV33" i="1"/>
  <c r="BU33" i="1"/>
  <c r="BT33" i="1"/>
  <c r="BV32" i="1"/>
  <c r="BU32" i="1"/>
  <c r="BT32" i="1"/>
  <c r="BV34" i="1"/>
  <c r="BU34" i="1"/>
  <c r="BT34" i="1"/>
  <c r="BV31" i="1"/>
  <c r="BU31" i="1"/>
  <c r="BT31" i="1"/>
  <c r="BV30" i="1"/>
  <c r="BU30" i="1"/>
  <c r="BT30" i="1"/>
  <c r="BV28" i="1"/>
  <c r="BU28" i="1"/>
  <c r="BT28" i="1"/>
  <c r="BV27" i="1"/>
  <c r="BU27" i="1"/>
  <c r="BT27" i="1"/>
  <c r="BV29" i="1"/>
  <c r="BU29" i="1"/>
  <c r="BT29" i="1"/>
  <c r="BV26" i="1"/>
  <c r="BU26" i="1"/>
  <c r="BT26" i="1"/>
  <c r="BV25" i="1"/>
  <c r="BU25" i="1"/>
  <c r="BT25" i="1"/>
  <c r="BV23" i="1"/>
  <c r="BU23" i="1"/>
  <c r="BT23" i="1"/>
  <c r="BV22" i="1"/>
  <c r="BU22" i="1"/>
  <c r="BT22" i="1"/>
  <c r="BV24" i="1"/>
  <c r="BU24" i="1"/>
  <c r="BT24" i="1"/>
  <c r="BV21" i="1"/>
  <c r="BU21" i="1"/>
  <c r="BT21" i="1"/>
  <c r="BV20" i="1"/>
  <c r="BU20" i="1"/>
  <c r="BT20" i="1"/>
  <c r="BV18" i="1"/>
  <c r="BU18" i="1"/>
  <c r="BT18" i="1"/>
  <c r="BV17" i="1"/>
  <c r="BU17" i="1"/>
  <c r="BT17" i="1"/>
  <c r="BV19" i="1"/>
  <c r="BU19" i="1"/>
  <c r="BT19" i="1"/>
  <c r="BV16" i="1"/>
  <c r="BU16" i="1"/>
  <c r="BT16" i="1"/>
  <c r="BV15" i="1"/>
  <c r="BU15" i="1"/>
  <c r="BT15" i="1"/>
  <c r="BV13" i="1"/>
  <c r="BU13" i="1"/>
  <c r="BT13" i="1"/>
  <c r="BV12" i="1"/>
  <c r="BU12" i="1"/>
  <c r="BT12" i="1"/>
  <c r="BV14" i="1"/>
  <c r="BU14" i="1"/>
  <c r="BT14" i="1"/>
  <c r="BV11" i="1"/>
  <c r="BU11" i="1"/>
  <c r="BT11" i="1"/>
  <c r="BV10" i="1"/>
  <c r="BU10" i="1"/>
  <c r="BT10" i="1"/>
  <c r="BV8" i="1"/>
  <c r="BU8" i="1"/>
  <c r="BT8" i="1"/>
  <c r="BV7" i="1"/>
  <c r="BU7" i="1"/>
  <c r="BT7" i="1"/>
  <c r="BV9" i="1"/>
  <c r="BU9" i="1"/>
  <c r="BT9" i="1"/>
  <c r="BV6" i="1"/>
  <c r="BU6" i="1"/>
  <c r="BT6" i="1"/>
  <c r="BV5" i="1"/>
  <c r="BU5" i="1"/>
  <c r="BT5" i="1"/>
  <c r="T219" i="1"/>
  <c r="U219" i="1" s="1"/>
  <c r="AN497" i="1"/>
  <c r="AN496" i="1"/>
  <c r="AN495" i="1"/>
  <c r="AN494" i="1"/>
  <c r="AN493" i="1"/>
  <c r="AN492" i="1"/>
  <c r="AN491" i="1"/>
  <c r="AN490" i="1"/>
  <c r="AN489" i="1"/>
  <c r="AN488" i="1"/>
  <c r="AN487" i="1"/>
  <c r="AN486" i="1"/>
  <c r="AN485" i="1"/>
  <c r="AN484" i="1"/>
  <c r="AN483" i="1"/>
  <c r="AN482" i="1"/>
  <c r="AN481" i="1"/>
  <c r="AN480" i="1"/>
  <c r="AN479" i="1"/>
  <c r="AN478" i="1"/>
  <c r="AN477" i="1"/>
  <c r="AN476" i="1"/>
  <c r="AN475" i="1"/>
  <c r="AN474" i="1"/>
  <c r="AN473" i="1"/>
  <c r="AN472" i="1"/>
  <c r="AN471" i="1"/>
  <c r="AN470" i="1"/>
  <c r="AN469" i="1"/>
  <c r="AN468" i="1"/>
  <c r="AN467" i="1"/>
  <c r="AN466" i="1"/>
  <c r="AN465" i="1"/>
  <c r="AN464" i="1"/>
  <c r="AN463" i="1"/>
  <c r="AN462" i="1"/>
  <c r="AN461" i="1"/>
  <c r="AN460" i="1"/>
  <c r="AN459" i="1"/>
  <c r="AN458" i="1"/>
  <c r="AN457" i="1"/>
  <c r="AN456" i="1"/>
  <c r="AN455" i="1"/>
  <c r="AN454" i="1"/>
  <c r="AN453" i="1"/>
  <c r="AN452" i="1"/>
  <c r="AN451" i="1"/>
  <c r="AN450" i="1"/>
  <c r="AN449" i="1"/>
  <c r="AN448" i="1"/>
  <c r="AN447" i="1"/>
  <c r="AN446" i="1"/>
  <c r="AN445" i="1"/>
  <c r="AN444" i="1"/>
  <c r="AN443" i="1"/>
  <c r="AN442" i="1"/>
  <c r="AN441" i="1"/>
  <c r="AN440" i="1"/>
  <c r="AN439" i="1"/>
  <c r="AN438" i="1"/>
  <c r="AN437" i="1"/>
  <c r="AN436" i="1"/>
  <c r="AN435" i="1"/>
  <c r="AN434" i="1"/>
  <c r="AN433" i="1"/>
  <c r="AN432" i="1"/>
  <c r="AN431" i="1"/>
  <c r="AN430" i="1"/>
  <c r="AN429" i="1"/>
  <c r="AN428" i="1"/>
  <c r="AN427" i="1"/>
  <c r="AN426" i="1"/>
  <c r="AN425" i="1"/>
  <c r="AN424" i="1"/>
  <c r="AN423" i="1"/>
  <c r="AN422" i="1"/>
  <c r="AN421" i="1"/>
  <c r="AN420" i="1"/>
  <c r="AN419" i="1"/>
  <c r="AN418" i="1"/>
  <c r="AN417" i="1"/>
  <c r="AN416" i="1"/>
  <c r="AN415" i="1"/>
  <c r="AN414" i="1"/>
  <c r="AN413" i="1"/>
  <c r="AN412" i="1"/>
  <c r="AN411" i="1"/>
  <c r="AN410" i="1"/>
  <c r="AN406" i="1"/>
  <c r="AN405" i="1"/>
  <c r="AN404" i="1"/>
  <c r="AN403" i="1"/>
  <c r="AN402" i="1"/>
  <c r="AN401" i="1"/>
  <c r="AN400" i="1"/>
  <c r="AN399" i="1"/>
  <c r="AN398" i="1"/>
  <c r="AN397" i="1"/>
  <c r="AN396" i="1"/>
  <c r="AN395" i="1"/>
  <c r="AN394" i="1"/>
  <c r="AN393" i="1"/>
  <c r="AN392" i="1"/>
  <c r="AN391" i="1"/>
  <c r="AN390" i="1"/>
  <c r="AN389" i="1"/>
  <c r="AN388" i="1"/>
  <c r="AN387" i="1"/>
  <c r="AN386" i="1"/>
  <c r="AN385" i="1"/>
  <c r="AN384" i="1"/>
  <c r="AN383" i="1"/>
  <c r="AN382" i="1"/>
  <c r="AN381" i="1"/>
  <c r="AN380" i="1"/>
  <c r="AN379" i="1"/>
  <c r="AN377" i="1"/>
  <c r="AN376" i="1"/>
  <c r="AN375" i="1"/>
  <c r="AN374" i="1"/>
  <c r="AN373" i="1"/>
  <c r="AN378" i="1"/>
  <c r="AN372" i="1"/>
  <c r="AN371" i="1"/>
  <c r="AN370" i="1"/>
  <c r="AN369" i="1"/>
  <c r="AN368" i="1"/>
  <c r="AN367" i="1"/>
  <c r="AN366" i="1"/>
  <c r="AN365" i="1"/>
  <c r="AN364" i="1"/>
  <c r="AN363" i="1"/>
  <c r="AN362" i="1"/>
  <c r="AN361" i="1"/>
  <c r="AN360" i="1"/>
  <c r="AN359" i="1"/>
  <c r="AN358" i="1"/>
  <c r="AN357" i="1"/>
  <c r="AN356" i="1"/>
  <c r="AN355" i="1"/>
  <c r="AN354" i="1"/>
  <c r="AN353" i="1"/>
  <c r="AN352" i="1"/>
  <c r="AN351" i="1"/>
  <c r="AN350" i="1"/>
  <c r="AN349" i="1"/>
  <c r="AN348" i="1"/>
  <c r="AN347" i="1"/>
  <c r="AN346" i="1"/>
  <c r="AN345" i="1"/>
  <c r="AN344" i="1"/>
  <c r="AN343" i="1"/>
  <c r="AN342" i="1"/>
  <c r="AN341" i="1"/>
  <c r="AN340" i="1"/>
  <c r="AN339" i="1"/>
  <c r="AN338" i="1"/>
  <c r="AN337" i="1"/>
  <c r="AN336" i="1"/>
  <c r="AN335" i="1"/>
  <c r="AN334" i="1"/>
  <c r="AN333" i="1"/>
  <c r="AN332" i="1"/>
  <c r="AN331" i="1"/>
  <c r="AN330" i="1"/>
  <c r="AN329" i="1"/>
  <c r="AN328" i="1"/>
  <c r="AN327" i="1"/>
  <c r="AN326" i="1"/>
  <c r="AN325" i="1"/>
  <c r="AN324" i="1"/>
  <c r="AN323" i="1"/>
  <c r="AN322" i="1"/>
  <c r="AN321" i="1"/>
  <c r="AN320" i="1"/>
  <c r="AN307" i="1"/>
  <c r="AN306" i="1"/>
  <c r="AN305" i="1"/>
  <c r="AN304" i="1"/>
  <c r="AN303" i="1"/>
  <c r="AN302" i="1"/>
  <c r="AN301" i="1"/>
  <c r="AN299" i="1"/>
  <c r="AN298" i="1"/>
  <c r="AN297" i="1"/>
  <c r="AN296" i="1"/>
  <c r="AN295" i="1"/>
  <c r="AN294" i="1"/>
  <c r="AN293" i="1"/>
  <c r="AN292" i="1"/>
  <c r="AN291" i="1"/>
  <c r="AN290" i="1"/>
  <c r="AN289" i="1"/>
  <c r="AN288" i="1"/>
  <c r="AN287" i="1"/>
  <c r="AN286" i="1"/>
  <c r="AN285" i="1"/>
  <c r="AN284" i="1"/>
  <c r="AN283" i="1"/>
  <c r="AN282" i="1"/>
  <c r="AN281" i="1"/>
  <c r="AN280" i="1"/>
  <c r="AN279" i="1"/>
  <c r="AN278" i="1"/>
  <c r="AN277" i="1"/>
  <c r="AN276" i="1"/>
  <c r="AN275" i="1"/>
  <c r="AN274" i="1"/>
  <c r="AN273" i="1"/>
  <c r="AN272" i="1"/>
  <c r="AN271" i="1"/>
  <c r="AN270" i="1"/>
  <c r="AN269" i="1"/>
  <c r="AN268" i="1"/>
  <c r="AN267" i="1"/>
  <c r="AN266" i="1"/>
  <c r="AN265" i="1"/>
  <c r="AN264" i="1"/>
  <c r="AN263" i="1"/>
  <c r="AN262" i="1"/>
  <c r="AN261" i="1"/>
  <c r="AN260" i="1"/>
  <c r="AN259" i="1"/>
  <c r="AN258" i="1"/>
  <c r="AN257" i="1"/>
  <c r="AN256" i="1"/>
  <c r="AN255" i="1"/>
  <c r="AN254" i="1"/>
  <c r="AN253" i="1"/>
  <c r="AN252" i="1"/>
  <c r="AN251" i="1"/>
  <c r="AN250" i="1"/>
  <c r="AN249" i="1"/>
  <c r="AN248" i="1"/>
  <c r="AN247" i="1"/>
  <c r="AN246" i="1"/>
  <c r="AN245" i="1"/>
  <c r="AN244" i="1"/>
  <c r="AN243" i="1"/>
  <c r="AN242" i="1"/>
  <c r="AN241" i="1"/>
  <c r="AN240" i="1"/>
  <c r="AN239" i="1"/>
  <c r="AN238" i="1"/>
  <c r="AN237" i="1"/>
  <c r="AN236" i="1"/>
  <c r="AN235" i="1"/>
  <c r="AN234" i="1"/>
  <c r="AN233" i="1"/>
  <c r="AN232" i="1"/>
  <c r="AN231" i="1"/>
  <c r="AN230" i="1"/>
  <c r="AN229" i="1"/>
  <c r="AN228" i="1"/>
  <c r="AN227" i="1"/>
  <c r="AN226" i="1"/>
  <c r="AN224" i="1"/>
  <c r="AN223" i="1"/>
  <c r="AN222" i="1"/>
  <c r="AN221" i="1"/>
  <c r="AN220" i="1"/>
  <c r="AN225" i="1"/>
  <c r="AN219" i="1"/>
  <c r="AN218" i="1"/>
  <c r="AN217" i="1"/>
  <c r="AN216" i="1"/>
  <c r="AN215" i="1"/>
  <c r="AN214" i="1"/>
  <c r="AN213" i="1"/>
  <c r="AN212" i="1"/>
  <c r="AN211" i="1"/>
  <c r="AN210" i="1"/>
  <c r="AN209" i="1"/>
  <c r="AN206" i="1"/>
  <c r="AN205" i="1"/>
  <c r="AN204" i="1"/>
  <c r="AN208" i="1"/>
  <c r="AN207" i="1"/>
  <c r="AN203" i="1"/>
  <c r="AN202" i="1"/>
  <c r="AN201" i="1"/>
  <c r="AN199" i="1"/>
  <c r="AN198" i="1"/>
  <c r="AN197" i="1"/>
  <c r="AN200" i="1"/>
  <c r="AN196" i="1"/>
  <c r="AN195" i="1"/>
  <c r="AN194" i="1"/>
  <c r="AN191" i="1"/>
  <c r="AN190" i="1"/>
  <c r="AN189" i="1"/>
  <c r="AN193" i="1"/>
  <c r="AN192" i="1"/>
  <c r="AN188" i="1"/>
  <c r="AN187" i="1"/>
  <c r="AN186" i="1"/>
  <c r="AN185" i="1"/>
  <c r="AN184" i="1"/>
  <c r="AN181" i="1"/>
  <c r="AN180" i="1"/>
  <c r="AN179" i="1"/>
  <c r="AN183" i="1"/>
  <c r="AN182" i="1"/>
  <c r="AN178" i="1"/>
  <c r="AN177" i="1"/>
  <c r="AN176" i="1"/>
  <c r="AN175" i="1"/>
  <c r="AN174" i="1"/>
  <c r="AN163" i="1"/>
  <c r="AN162" i="1"/>
  <c r="AN161" i="1"/>
  <c r="AN160" i="1"/>
  <c r="AN159" i="1"/>
  <c r="AN158" i="1"/>
  <c r="AN157" i="1"/>
  <c r="AN156" i="1"/>
  <c r="AN155" i="1"/>
  <c r="AN154" i="1"/>
  <c r="AN153" i="1"/>
  <c r="AN152" i="1"/>
  <c r="AN151" i="1"/>
  <c r="AN150" i="1"/>
  <c r="AN149" i="1"/>
  <c r="AN148" i="1"/>
  <c r="AN147" i="1"/>
  <c r="AN146" i="1"/>
  <c r="AN145" i="1"/>
  <c r="AN144" i="1"/>
  <c r="AN143" i="1"/>
  <c r="AN142" i="1"/>
  <c r="AN141" i="1"/>
  <c r="AN140" i="1"/>
  <c r="AN139" i="1"/>
  <c r="AN138" i="1"/>
  <c r="AN137" i="1"/>
  <c r="AN136" i="1"/>
  <c r="AN135" i="1"/>
  <c r="AN134" i="1"/>
  <c r="AN133" i="1"/>
  <c r="AN132" i="1"/>
  <c r="AN131" i="1"/>
  <c r="AN130" i="1"/>
  <c r="AN129" i="1"/>
  <c r="AN128" i="1"/>
  <c r="AN127" i="1"/>
  <c r="AN126" i="1"/>
  <c r="AN125" i="1"/>
  <c r="AN124" i="1"/>
  <c r="AN123" i="1"/>
  <c r="AN122" i="1"/>
  <c r="AN121" i="1"/>
  <c r="AN120" i="1"/>
  <c r="AN119" i="1"/>
  <c r="AN118" i="1"/>
  <c r="AN117" i="1"/>
  <c r="AN116" i="1"/>
  <c r="AN115" i="1"/>
  <c r="AN114" i="1"/>
  <c r="AN113" i="1"/>
  <c r="AN112" i="1"/>
  <c r="AN111" i="1"/>
  <c r="AN110" i="1"/>
  <c r="AN109" i="1"/>
  <c r="AN108" i="1"/>
  <c r="AN107" i="1"/>
  <c r="AN106" i="1"/>
  <c r="AN105" i="1"/>
  <c r="AN104" i="1"/>
  <c r="AN103" i="1"/>
  <c r="AN102" i="1"/>
  <c r="AN101" i="1"/>
  <c r="AN100" i="1"/>
  <c r="AN99" i="1"/>
  <c r="AN98" i="1"/>
  <c r="AN97" i="1"/>
  <c r="AN96" i="1"/>
  <c r="AN95" i="1"/>
  <c r="AN94" i="1"/>
  <c r="AN93" i="1"/>
  <c r="AN92" i="1"/>
  <c r="AN91"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3" i="1"/>
  <c r="AN42" i="1"/>
  <c r="AN44" i="1"/>
  <c r="AN41" i="1"/>
  <c r="AN40" i="1"/>
  <c r="AN38" i="1"/>
  <c r="AN37" i="1"/>
  <c r="AN39" i="1"/>
  <c r="AN36" i="1"/>
  <c r="AN35" i="1"/>
  <c r="AN33" i="1"/>
  <c r="AN32" i="1"/>
  <c r="AN34" i="1"/>
  <c r="AN31" i="1"/>
  <c r="AN30" i="1"/>
  <c r="AN28" i="1"/>
  <c r="AN27" i="1"/>
  <c r="AN29" i="1"/>
  <c r="AN26" i="1"/>
  <c r="AN25" i="1"/>
  <c r="AN23" i="1"/>
  <c r="AN22" i="1"/>
  <c r="AN24" i="1"/>
  <c r="AN21" i="1"/>
  <c r="AN20" i="1"/>
  <c r="AN18" i="1"/>
  <c r="AN17" i="1"/>
  <c r="AN19" i="1"/>
  <c r="AN16" i="1"/>
  <c r="AN15" i="1"/>
  <c r="AN13" i="1"/>
  <c r="AN12" i="1"/>
  <c r="AN14" i="1"/>
  <c r="AN11" i="1"/>
  <c r="AN10" i="1"/>
  <c r="AN8" i="1"/>
  <c r="AN7" i="1"/>
  <c r="AN9" i="1"/>
  <c r="AN6" i="1"/>
  <c r="AN5" i="1"/>
  <c r="Y5" i="1"/>
  <c r="Y13" i="1"/>
  <c r="Y14" i="1"/>
  <c r="Y10" i="1"/>
  <c r="Y11" i="1"/>
  <c r="Y7" i="1"/>
  <c r="Y8" i="1"/>
  <c r="Y9" i="1"/>
  <c r="Y6" i="1"/>
  <c r="Y42" i="1"/>
  <c r="Y43" i="1"/>
  <c r="Y44" i="1"/>
  <c r="Y40" i="1"/>
  <c r="Y41" i="1"/>
  <c r="Y37" i="1"/>
  <c r="Y38" i="1"/>
  <c r="Y39" i="1"/>
  <c r="Y35" i="1"/>
  <c r="Y36" i="1"/>
  <c r="Y32" i="1"/>
  <c r="Y33" i="1"/>
  <c r="Y34" i="1"/>
  <c r="Y30" i="1"/>
  <c r="Y31" i="1"/>
  <c r="Y27" i="1"/>
  <c r="Y28" i="1"/>
  <c r="Y29" i="1"/>
  <c r="Y25" i="1"/>
  <c r="Y26" i="1"/>
  <c r="Y81" i="1"/>
  <c r="Y82" i="1"/>
  <c r="Y83" i="1"/>
  <c r="Y84" i="1"/>
  <c r="Y85" i="1"/>
  <c r="Y80" i="1"/>
  <c r="Y76" i="1"/>
  <c r="Y77" i="1"/>
  <c r="Y78" i="1"/>
  <c r="Y79" i="1"/>
  <c r="Y71" i="1"/>
  <c r="Y72" i="1"/>
  <c r="Y73" i="1"/>
  <c r="Y74" i="1"/>
  <c r="Y75" i="1"/>
  <c r="Y70" i="1"/>
  <c r="Y65" i="1"/>
  <c r="Y66" i="1"/>
  <c r="Y67" i="1"/>
  <c r="Y68" i="1"/>
  <c r="Y69" i="1"/>
  <c r="Y64" i="1"/>
  <c r="Y59" i="1"/>
  <c r="Y60" i="1"/>
  <c r="Y61" i="1"/>
  <c r="Y62" i="1"/>
  <c r="Y63" i="1"/>
  <c r="Y55" i="1"/>
  <c r="Y56" i="1"/>
  <c r="Y57" i="1"/>
  <c r="Y58" i="1"/>
  <c r="Y54" i="1"/>
  <c r="Y49" i="1"/>
  <c r="Y50" i="1"/>
  <c r="Y51" i="1"/>
  <c r="Y52" i="1"/>
  <c r="Y53" i="1"/>
  <c r="Y45" i="1"/>
  <c r="Y46" i="1"/>
  <c r="Y47" i="1"/>
  <c r="Y48" i="1"/>
  <c r="Y156" i="1"/>
  <c r="Y160" i="1"/>
  <c r="Y157" i="1"/>
  <c r="Y161" i="1"/>
  <c r="Y158" i="1"/>
  <c r="Y162" i="1"/>
  <c r="Y159" i="1"/>
  <c r="Y163" i="1"/>
  <c r="Y146" i="1"/>
  <c r="Y147" i="1"/>
  <c r="Y148" i="1"/>
  <c r="Y152" i="1"/>
  <c r="Y149" i="1"/>
  <c r="Y153" i="1"/>
  <c r="Y150" i="1"/>
  <c r="Y154" i="1"/>
  <c r="Y151" i="1"/>
  <c r="Y155" i="1"/>
  <c r="Y142" i="1"/>
  <c r="Y138" i="1"/>
  <c r="Y139" i="1"/>
  <c r="Y143" i="1"/>
  <c r="Y140" i="1"/>
  <c r="Y144" i="1"/>
  <c r="Y141" i="1"/>
  <c r="Y145" i="1"/>
  <c r="Y129" i="1"/>
  <c r="Y128" i="1"/>
  <c r="Y130" i="1"/>
  <c r="Y134" i="1"/>
  <c r="Y131" i="1"/>
  <c r="Y135" i="1"/>
  <c r="Y132" i="1"/>
  <c r="Y136" i="1"/>
  <c r="Y133" i="1"/>
  <c r="Y137" i="1"/>
  <c r="Y120" i="1"/>
  <c r="Y124" i="1"/>
  <c r="Y121" i="1"/>
  <c r="Y125" i="1"/>
  <c r="Y122" i="1"/>
  <c r="Y126" i="1"/>
  <c r="Y123" i="1"/>
  <c r="Y127" i="1"/>
  <c r="Y119" i="1"/>
  <c r="Y110" i="1"/>
  <c r="Y109" i="1"/>
  <c r="Y111" i="1"/>
  <c r="Y115" i="1"/>
  <c r="Y112" i="1"/>
  <c r="Y116" i="1"/>
  <c r="Y113" i="1"/>
  <c r="Y117" i="1"/>
  <c r="Y114" i="1"/>
  <c r="Y118" i="1"/>
  <c r="Y105" i="1"/>
  <c r="Y101" i="1"/>
  <c r="Y102" i="1"/>
  <c r="Y106" i="1"/>
  <c r="Y103" i="1"/>
  <c r="Y107" i="1"/>
  <c r="Y104" i="1"/>
  <c r="Y108" i="1"/>
  <c r="Y91" i="1"/>
  <c r="Y92" i="1"/>
  <c r="Y93" i="1"/>
  <c r="Y97" i="1"/>
  <c r="Y94" i="1"/>
  <c r="Y98" i="1"/>
  <c r="Y95" i="1"/>
  <c r="Y99" i="1"/>
  <c r="Y96" i="1"/>
  <c r="Y100" i="1"/>
  <c r="Y204" i="1"/>
  <c r="Y205" i="1"/>
  <c r="Y206" i="1"/>
  <c r="Y208" i="1"/>
  <c r="Y207" i="1"/>
  <c r="Y201" i="1"/>
  <c r="Y202" i="1"/>
  <c r="Y203" i="1"/>
  <c r="Y197" i="1"/>
  <c r="Y198" i="1"/>
  <c r="Y199" i="1"/>
  <c r="Y200" i="1"/>
  <c r="Y194" i="1"/>
  <c r="Y195" i="1"/>
  <c r="Y196" i="1"/>
  <c r="Y193" i="1"/>
  <c r="Y189" i="1"/>
  <c r="Y190" i="1"/>
  <c r="Y191" i="1"/>
  <c r="Y192" i="1"/>
  <c r="Y184" i="1"/>
  <c r="Y185" i="1"/>
  <c r="Y186" i="1"/>
  <c r="Y187" i="1"/>
  <c r="Y188" i="1"/>
  <c r="Y179" i="1"/>
  <c r="Y182" i="1"/>
  <c r="Y180" i="1"/>
  <c r="Y181" i="1"/>
  <c r="Y183" i="1"/>
  <c r="Y174" i="1"/>
  <c r="Y175" i="1"/>
  <c r="Y176" i="1"/>
  <c r="Y177" i="1"/>
  <c r="Y178" i="1"/>
  <c r="Y301" i="1"/>
  <c r="Y307" i="1"/>
  <c r="Y302" i="1"/>
  <c r="Y303" i="1"/>
  <c r="Y304" i="1"/>
  <c r="Y305" i="1"/>
  <c r="Y306" i="1"/>
  <c r="Y298" i="1"/>
  <c r="Y299" i="1"/>
  <c r="Y297" i="1"/>
  <c r="Y291" i="1"/>
  <c r="Y292" i="1"/>
  <c r="Y293" i="1"/>
  <c r="Y294" i="1"/>
  <c r="Y295" i="1"/>
  <c r="Y296" i="1"/>
  <c r="Y290" i="1"/>
  <c r="Y288" i="1"/>
  <c r="Y289" i="1"/>
  <c r="Y281" i="1"/>
  <c r="Y287" i="1"/>
  <c r="Y282" i="1"/>
  <c r="Y283" i="1"/>
  <c r="Y284" i="1"/>
  <c r="Y285" i="1"/>
  <c r="Y286" i="1"/>
  <c r="Y279" i="1"/>
  <c r="Y280" i="1"/>
  <c r="Y272" i="1"/>
  <c r="Y273" i="1"/>
  <c r="Y274" i="1"/>
  <c r="Y275" i="1"/>
  <c r="Y276" i="1"/>
  <c r="Y277" i="1"/>
  <c r="Y278" i="1"/>
  <c r="Y270" i="1"/>
  <c r="Y271" i="1"/>
  <c r="Y269" i="1"/>
  <c r="Y262" i="1"/>
  <c r="Y268" i="1"/>
  <c r="Y263" i="1"/>
  <c r="Y264" i="1"/>
  <c r="Y265" i="1"/>
  <c r="Y266" i="1"/>
  <c r="Y267" i="1"/>
  <c r="Y259" i="1"/>
  <c r="Y261" i="1"/>
  <c r="Y260" i="1"/>
  <c r="Y252" i="1"/>
  <c r="Y253" i="1"/>
  <c r="Y254" i="1"/>
  <c r="Y255" i="1"/>
  <c r="Y256" i="1"/>
  <c r="Y257" i="1"/>
  <c r="Y258" i="1"/>
  <c r="Y249" i="1"/>
  <c r="Y250" i="1"/>
  <c r="Y251" i="1"/>
  <c r="Y242" i="1"/>
  <c r="Y248" i="1"/>
  <c r="Y243" i="1"/>
  <c r="Y244" i="1"/>
  <c r="Y245" i="1"/>
  <c r="Y246" i="1"/>
  <c r="Y247" i="1"/>
  <c r="Y240" i="1"/>
  <c r="Y241" i="1"/>
  <c r="Y229" i="1"/>
  <c r="Y230" i="1"/>
  <c r="Y231" i="1"/>
  <c r="Y232" i="1"/>
  <c r="Y233" i="1"/>
  <c r="Y234" i="1"/>
  <c r="Y235" i="1"/>
  <c r="Y236" i="1"/>
  <c r="Y237" i="1"/>
  <c r="Y238" i="1"/>
  <c r="Y239" i="1"/>
  <c r="Y226" i="1"/>
  <c r="Y227" i="1"/>
  <c r="Y228" i="1"/>
  <c r="Y220" i="1"/>
  <c r="Y221" i="1"/>
  <c r="Y222" i="1"/>
  <c r="Y223" i="1"/>
  <c r="Y224" i="1"/>
  <c r="Y225" i="1"/>
  <c r="Y217" i="1"/>
  <c r="Y219" i="1"/>
  <c r="Y218" i="1"/>
  <c r="Y211" i="1"/>
  <c r="Y212" i="1"/>
  <c r="Y213" i="1"/>
  <c r="Y214" i="1"/>
  <c r="Y215" i="1"/>
  <c r="Y216" i="1"/>
  <c r="Y209" i="1"/>
  <c r="Y210" i="1"/>
  <c r="Y378" i="1"/>
  <c r="Y373" i="1"/>
  <c r="Y374" i="1"/>
  <c r="Y375" i="1"/>
  <c r="Y376" i="1"/>
  <c r="Y377" i="1"/>
  <c r="Y369" i="1"/>
  <c r="Y370" i="1"/>
  <c r="Y371" i="1"/>
  <c r="Y372" i="1"/>
  <c r="Y368" i="1"/>
  <c r="Y367" i="1"/>
  <c r="Y362" i="1"/>
  <c r="Y363" i="1"/>
  <c r="Y364" i="1"/>
  <c r="Y365" i="1"/>
  <c r="Y366" i="1"/>
  <c r="Y358" i="1"/>
  <c r="Y359" i="1"/>
  <c r="Y360" i="1"/>
  <c r="Y361" i="1"/>
  <c r="Y357" i="1"/>
  <c r="Y356" i="1"/>
  <c r="Y355" i="1"/>
  <c r="Y349" i="1"/>
  <c r="Y350" i="1"/>
  <c r="Y351" i="1"/>
  <c r="Y352" i="1"/>
  <c r="Y353" i="1"/>
  <c r="Y354" i="1"/>
  <c r="Y348" i="1"/>
  <c r="Y344" i="1"/>
  <c r="Y345" i="1"/>
  <c r="Y346" i="1"/>
  <c r="Y347" i="1"/>
  <c r="Y343" i="1"/>
  <c r="Y342" i="1"/>
  <c r="Y337" i="1"/>
  <c r="Y338" i="1"/>
  <c r="Y339" i="1"/>
  <c r="Y340" i="1"/>
  <c r="Y341" i="1"/>
  <c r="Y333" i="1"/>
  <c r="Y334" i="1"/>
  <c r="Y335" i="1"/>
  <c r="Y336" i="1"/>
  <c r="Y332" i="1"/>
  <c r="Y331" i="1"/>
  <c r="Y326" i="1"/>
  <c r="Y327" i="1"/>
  <c r="Y328" i="1"/>
  <c r="Y329" i="1"/>
  <c r="Y330" i="1"/>
  <c r="Y322" i="1"/>
  <c r="Y323" i="1"/>
  <c r="Y324" i="1"/>
  <c r="Y325" i="1"/>
  <c r="Y321" i="1"/>
  <c r="Y320" i="1"/>
  <c r="Y406" i="1"/>
  <c r="Y403" i="1"/>
  <c r="Y404" i="1"/>
  <c r="Y405" i="1"/>
  <c r="Y400" i="1"/>
  <c r="Y401" i="1"/>
  <c r="Y402" i="1"/>
  <c r="Y399" i="1"/>
  <c r="Y396" i="1"/>
  <c r="Y397" i="1"/>
  <c r="Y398" i="1"/>
  <c r="Y393" i="1"/>
  <c r="Y394" i="1"/>
  <c r="Y395" i="1"/>
  <c r="Y392" i="1"/>
  <c r="Y389" i="1"/>
  <c r="Y390" i="1"/>
  <c r="Y391" i="1"/>
  <c r="Y386" i="1"/>
  <c r="Y387" i="1"/>
  <c r="Y388" i="1"/>
  <c r="Y385" i="1"/>
  <c r="Y382" i="1"/>
  <c r="Y383" i="1"/>
  <c r="Y384" i="1"/>
  <c r="Y379" i="1"/>
  <c r="Y380" i="1"/>
  <c r="Y381" i="1"/>
  <c r="Y441" i="1"/>
  <c r="Y438" i="1"/>
  <c r="Y439" i="1"/>
  <c r="Y440" i="1"/>
  <c r="Y437" i="1"/>
  <c r="Y434" i="1"/>
  <c r="Y435" i="1"/>
  <c r="Y436" i="1"/>
  <c r="Y433" i="1"/>
  <c r="Y430" i="1"/>
  <c r="Y431" i="1"/>
  <c r="Y432" i="1"/>
  <c r="Y429" i="1"/>
  <c r="Y426" i="1"/>
  <c r="Y427" i="1"/>
  <c r="Y428" i="1"/>
  <c r="Y425" i="1"/>
  <c r="Y422" i="1"/>
  <c r="Y423" i="1"/>
  <c r="Y424" i="1"/>
  <c r="Y421" i="1"/>
  <c r="Y418" i="1"/>
  <c r="Y419" i="1"/>
  <c r="Y420" i="1"/>
  <c r="Y417" i="1"/>
  <c r="Y414" i="1"/>
  <c r="Y415" i="1"/>
  <c r="Y416" i="1"/>
  <c r="Y413" i="1"/>
  <c r="Y410" i="1"/>
  <c r="Y411" i="1"/>
  <c r="Y412" i="1"/>
  <c r="Y468" i="1"/>
  <c r="Y467" i="1"/>
  <c r="Y469" i="1"/>
  <c r="Y466" i="1"/>
  <c r="Y464" i="1"/>
  <c r="Y463" i="1"/>
  <c r="Y465" i="1"/>
  <c r="Y460" i="1"/>
  <c r="Y461" i="1"/>
  <c r="Y462" i="1"/>
  <c r="Y456" i="1"/>
  <c r="Y459" i="1"/>
  <c r="Y458" i="1"/>
  <c r="Y457" i="1"/>
  <c r="Y453" i="1"/>
  <c r="Y454" i="1"/>
  <c r="Y455" i="1"/>
  <c r="Y449" i="1"/>
  <c r="Y451" i="1"/>
  <c r="Y450" i="1"/>
  <c r="Y452" i="1"/>
  <c r="Y446" i="1"/>
  <c r="Y447" i="1"/>
  <c r="Y448" i="1"/>
  <c r="Y444" i="1"/>
  <c r="Y442" i="1"/>
  <c r="Y443" i="1"/>
  <c r="Y445" i="1"/>
  <c r="Y495" i="1"/>
  <c r="Y496" i="1"/>
  <c r="Y497" i="1"/>
  <c r="Y494" i="1"/>
  <c r="Y491" i="1"/>
  <c r="Y492" i="1"/>
  <c r="Y493" i="1"/>
  <c r="Y488" i="1"/>
  <c r="Y489" i="1"/>
  <c r="Y490" i="1"/>
  <c r="Y487" i="1"/>
  <c r="Y484" i="1"/>
  <c r="Y485" i="1"/>
  <c r="Y486" i="1"/>
  <c r="Y481" i="1"/>
  <c r="Y482" i="1"/>
  <c r="Y483" i="1"/>
  <c r="Y480" i="1"/>
  <c r="Y477" i="1"/>
  <c r="Y478" i="1"/>
  <c r="Y479" i="1"/>
  <c r="Y474" i="1"/>
  <c r="Y475" i="1"/>
  <c r="Y476" i="1"/>
  <c r="Y473" i="1"/>
  <c r="Y470" i="1"/>
  <c r="Y471" i="1"/>
  <c r="Y472" i="1"/>
  <c r="Y18" i="1"/>
  <c r="Y19" i="1"/>
  <c r="Y15" i="1"/>
  <c r="Y16" i="1"/>
  <c r="Y12" i="1"/>
  <c r="Y22" i="1"/>
  <c r="Y23" i="1"/>
  <c r="Y20" i="1"/>
  <c r="Y21" i="1"/>
  <c r="Y17" i="1"/>
  <c r="Y24" i="1"/>
  <c r="G54" i="1"/>
  <c r="G64" i="1"/>
  <c r="G70" i="1"/>
  <c r="G80" i="1"/>
  <c r="CK301" i="1"/>
  <c r="CK307" i="1"/>
  <c r="CK298" i="1"/>
  <c r="CK299" i="1"/>
  <c r="CK297" i="1"/>
  <c r="CK288" i="1"/>
  <c r="CK281" i="1"/>
  <c r="CK287" i="1"/>
  <c r="CK279" i="1"/>
  <c r="CK280" i="1"/>
  <c r="CK289" i="1"/>
  <c r="CK290" i="1"/>
  <c r="CK259" i="1"/>
  <c r="CK261" i="1"/>
  <c r="CK269" i="1"/>
  <c r="CK270" i="1"/>
  <c r="CK271" i="1"/>
  <c r="CK249" i="1"/>
  <c r="CK250" i="1"/>
  <c r="CK242" i="1"/>
  <c r="CK248" i="1"/>
  <c r="CK240" i="1"/>
  <c r="CK219" i="1"/>
  <c r="CK262" i="1"/>
  <c r="CK268" i="1"/>
  <c r="CK210" i="1"/>
  <c r="CK260" i="1"/>
  <c r="CK251" i="1"/>
  <c r="CK241" i="1"/>
  <c r="CK226" i="1"/>
  <c r="CK227" i="1"/>
  <c r="CK228" i="1"/>
  <c r="CK217" i="1"/>
  <c r="CK225" i="1"/>
  <c r="CK218" i="1"/>
  <c r="CK209" i="1"/>
  <c r="AH476" i="1"/>
  <c r="AH475" i="1"/>
  <c r="AH474" i="1"/>
  <c r="AI444" i="1"/>
  <c r="CB444" i="1" s="1"/>
  <c r="AH444" i="1"/>
  <c r="AI448" i="1"/>
  <c r="CB448" i="1" s="1"/>
  <c r="AH448" i="1"/>
  <c r="AI447" i="1"/>
  <c r="CB447" i="1" s="1"/>
  <c r="AH447" i="1"/>
  <c r="AI446" i="1"/>
  <c r="CB446" i="1" s="1"/>
  <c r="AH446" i="1"/>
  <c r="AI455" i="1"/>
  <c r="CB455" i="1" s="1"/>
  <c r="AH455" i="1"/>
  <c r="AI453" i="1"/>
  <c r="CB453" i="1" s="1"/>
  <c r="AH453" i="1"/>
  <c r="AI459" i="1"/>
  <c r="AH459" i="1"/>
  <c r="AI458" i="1"/>
  <c r="AH458" i="1"/>
  <c r="AI456" i="1"/>
  <c r="AH456" i="1"/>
  <c r="AI462" i="1"/>
  <c r="AH462" i="1"/>
  <c r="AI461" i="1"/>
  <c r="AH461" i="1"/>
  <c r="AI460" i="1"/>
  <c r="AH460" i="1"/>
  <c r="AI412" i="1"/>
  <c r="AH412" i="1"/>
  <c r="AI411" i="1"/>
  <c r="AH411" i="1"/>
  <c r="AI410" i="1"/>
  <c r="AH410" i="1"/>
  <c r="AI413" i="1"/>
  <c r="AH413" i="1"/>
  <c r="AI416" i="1"/>
  <c r="AH416" i="1"/>
  <c r="AI415" i="1"/>
  <c r="AH415" i="1"/>
  <c r="AI414" i="1"/>
  <c r="AH414" i="1"/>
  <c r="AI420" i="1"/>
  <c r="AH420" i="1"/>
  <c r="AI419" i="1"/>
  <c r="AP419" i="1" s="1"/>
  <c r="AQ419" i="1" s="1"/>
  <c r="AH419" i="1"/>
  <c r="AI418" i="1"/>
  <c r="AP418" i="1" s="1"/>
  <c r="AQ418" i="1" s="1"/>
  <c r="AH418" i="1"/>
  <c r="AI421" i="1"/>
  <c r="AH421" i="1"/>
  <c r="AI424" i="1"/>
  <c r="AP424" i="1" s="1"/>
  <c r="AQ424" i="1" s="1"/>
  <c r="AH424" i="1"/>
  <c r="AI423" i="1"/>
  <c r="AP423" i="1" s="1"/>
  <c r="AQ423" i="1" s="1"/>
  <c r="AH423" i="1"/>
  <c r="AI422" i="1"/>
  <c r="AH422" i="1"/>
  <c r="AI425" i="1"/>
  <c r="AH425" i="1"/>
  <c r="AI428" i="1"/>
  <c r="AH428" i="1"/>
  <c r="AI427" i="1"/>
  <c r="AH427" i="1"/>
  <c r="AI426" i="1"/>
  <c r="AH426" i="1"/>
  <c r="AI429" i="1"/>
  <c r="AH429" i="1"/>
  <c r="AI432" i="1"/>
  <c r="AH432" i="1"/>
  <c r="AI433" i="1"/>
  <c r="AH433" i="1"/>
  <c r="AI436" i="1"/>
  <c r="CB436" i="1" s="1"/>
  <c r="AH436" i="1"/>
  <c r="AI435" i="1"/>
  <c r="CB435" i="1" s="1"/>
  <c r="AH435" i="1"/>
  <c r="AI434" i="1"/>
  <c r="CB434" i="1" s="1"/>
  <c r="AH434" i="1"/>
  <c r="AI437" i="1"/>
  <c r="CB437" i="1" s="1"/>
  <c r="AH437" i="1"/>
  <c r="AI440" i="1"/>
  <c r="CB440" i="1" s="1"/>
  <c r="AH440" i="1"/>
  <c r="AI439" i="1"/>
  <c r="CB439" i="1" s="1"/>
  <c r="AH439" i="1"/>
  <c r="AI438" i="1"/>
  <c r="CB438" i="1" s="1"/>
  <c r="AH438" i="1"/>
  <c r="AI441" i="1"/>
  <c r="CB441" i="1" s="1"/>
  <c r="AH441" i="1"/>
  <c r="AI381" i="1"/>
  <c r="CB381" i="1" s="1"/>
  <c r="AH381" i="1"/>
  <c r="AI380" i="1"/>
  <c r="CB380" i="1" s="1"/>
  <c r="AH380" i="1"/>
  <c r="AI379" i="1"/>
  <c r="CB379" i="1" s="1"/>
  <c r="AH379" i="1"/>
  <c r="AI325" i="1"/>
  <c r="AH325" i="1"/>
  <c r="AI324" i="1"/>
  <c r="AH324" i="1"/>
  <c r="T209" i="1"/>
  <c r="U209" i="1" s="1"/>
  <c r="T218" i="1"/>
  <c r="U218" i="1" s="1"/>
  <c r="T225" i="1"/>
  <c r="U225" i="1" s="1"/>
  <c r="T228" i="1"/>
  <c r="U228" i="1" s="1"/>
  <c r="T236" i="1"/>
  <c r="U236" i="1" s="1"/>
  <c r="T234" i="1"/>
  <c r="U234" i="1" s="1"/>
  <c r="T230" i="1"/>
  <c r="U230" i="1" s="1"/>
  <c r="T229" i="1"/>
  <c r="U229" i="1" s="1"/>
  <c r="T241" i="1"/>
  <c r="U241" i="1" s="1"/>
  <c r="T240" i="1"/>
  <c r="U240" i="1" s="1"/>
  <c r="T246" i="1"/>
  <c r="U246" i="1" s="1"/>
  <c r="T243" i="1"/>
  <c r="U243" i="1" s="1"/>
  <c r="T251" i="1"/>
  <c r="U251" i="1" s="1"/>
  <c r="T250" i="1"/>
  <c r="U250" i="1" s="1"/>
  <c r="T257" i="1"/>
  <c r="U257" i="1" s="1"/>
  <c r="T254" i="1"/>
  <c r="U254" i="1" s="1"/>
  <c r="T253" i="1"/>
  <c r="U253" i="1" s="1"/>
  <c r="T252" i="1"/>
  <c r="U252" i="1" s="1"/>
  <c r="T260" i="1"/>
  <c r="U260" i="1" s="1"/>
  <c r="T267" i="1"/>
  <c r="U267" i="1" s="1"/>
  <c r="T266" i="1"/>
  <c r="U266" i="1" s="1"/>
  <c r="T265" i="1"/>
  <c r="U265" i="1" s="1"/>
  <c r="T263" i="1"/>
  <c r="U263" i="1" s="1"/>
  <c r="T268" i="1"/>
  <c r="U268" i="1" s="1"/>
  <c r="T271" i="1"/>
  <c r="U271" i="1" s="1"/>
  <c r="T269" i="1"/>
  <c r="U269" i="1" s="1"/>
  <c r="T276" i="1"/>
  <c r="U276" i="1" s="1"/>
  <c r="T275" i="1"/>
  <c r="U275" i="1" s="1"/>
  <c r="T273" i="1"/>
  <c r="U273" i="1" s="1"/>
  <c r="T280" i="1"/>
  <c r="U280" i="1" s="1"/>
  <c r="T279" i="1"/>
  <c r="U279" i="1" s="1"/>
  <c r="T285" i="1"/>
  <c r="U285" i="1" s="1"/>
  <c r="T283" i="1"/>
  <c r="U283" i="1" s="1"/>
  <c r="T296" i="1"/>
  <c r="U296" i="1" s="1"/>
  <c r="T295" i="1"/>
  <c r="U295" i="1" s="1"/>
  <c r="T292" i="1"/>
  <c r="U292" i="1" s="1"/>
  <c r="T291" i="1"/>
  <c r="U291" i="1" s="1"/>
  <c r="T297" i="1"/>
  <c r="U297" i="1" s="1"/>
  <c r="T299" i="1"/>
  <c r="U299" i="1" s="1"/>
  <c r="T298" i="1"/>
  <c r="U298" i="1" s="1"/>
  <c r="T305" i="1"/>
  <c r="U305" i="1" s="1"/>
  <c r="T304" i="1"/>
  <c r="U304" i="1" s="1"/>
  <c r="T303" i="1"/>
  <c r="U303" i="1" s="1"/>
  <c r="AI183" i="1"/>
  <c r="CB183" i="1" s="1"/>
  <c r="AH183" i="1"/>
  <c r="AI180" i="1"/>
  <c r="CB180" i="1" s="1"/>
  <c r="AH180" i="1"/>
  <c r="AI181" i="1"/>
  <c r="CB181" i="1" s="1"/>
  <c r="AH181" i="1"/>
  <c r="AI179" i="1"/>
  <c r="CB179" i="1" s="1"/>
  <c r="AH179" i="1"/>
  <c r="AI188" i="1"/>
  <c r="CB188" i="1" s="1"/>
  <c r="AH188" i="1"/>
  <c r="AI184" i="1"/>
  <c r="CB184" i="1" s="1"/>
  <c r="AH184" i="1"/>
  <c r="AI185" i="1"/>
  <c r="CB185" i="1" s="1"/>
  <c r="AH185" i="1"/>
  <c r="AI187" i="1"/>
  <c r="CB187" i="1" s="1"/>
  <c r="AH187" i="1"/>
  <c r="AI186" i="1"/>
  <c r="CB186" i="1" s="1"/>
  <c r="AH186" i="1"/>
  <c r="AI193" i="1"/>
  <c r="CB193" i="1" s="1"/>
  <c r="AH193" i="1"/>
  <c r="AI190" i="1"/>
  <c r="CB190" i="1" s="1"/>
  <c r="AH190" i="1"/>
  <c r="AI189" i="1"/>
  <c r="CB189" i="1" s="1"/>
  <c r="AH189" i="1"/>
  <c r="AI191" i="1"/>
  <c r="CB191" i="1" s="1"/>
  <c r="AH191" i="1"/>
  <c r="AI194" i="1"/>
  <c r="CB194" i="1" s="1"/>
  <c r="AH194" i="1"/>
  <c r="AI195" i="1"/>
  <c r="CB195" i="1" s="1"/>
  <c r="AH195" i="1"/>
  <c r="AI196" i="1"/>
  <c r="CB196" i="1" s="1"/>
  <c r="AH196" i="1"/>
  <c r="AI200" i="1"/>
  <c r="CB200" i="1" s="1"/>
  <c r="AH200" i="1"/>
  <c r="AI197" i="1"/>
  <c r="CB197" i="1" s="1"/>
  <c r="AH197" i="1"/>
  <c r="AI198" i="1"/>
  <c r="CB198" i="1" s="1"/>
  <c r="AH198" i="1"/>
  <c r="AI199" i="1"/>
  <c r="CB199" i="1" s="1"/>
  <c r="AH199" i="1"/>
  <c r="AI202" i="1"/>
  <c r="CB202" i="1" s="1"/>
  <c r="AH202" i="1"/>
  <c r="AI203" i="1"/>
  <c r="CB203" i="1" s="1"/>
  <c r="AH203" i="1"/>
  <c r="AI201" i="1"/>
  <c r="CB201" i="1" s="1"/>
  <c r="AH201" i="1"/>
  <c r="AI207" i="1"/>
  <c r="CB207" i="1" s="1"/>
  <c r="AH207" i="1"/>
  <c r="AI205" i="1"/>
  <c r="CB205" i="1" s="1"/>
  <c r="AH205" i="1"/>
  <c r="AI206" i="1"/>
  <c r="CB206" i="1" s="1"/>
  <c r="AH206" i="1"/>
  <c r="AI204" i="1"/>
  <c r="CB204" i="1" s="1"/>
  <c r="AH204" i="1"/>
  <c r="AH100" i="1"/>
  <c r="AI95" i="1"/>
  <c r="CB95" i="1" s="1"/>
  <c r="AH95" i="1"/>
  <c r="AH98" i="1"/>
  <c r="AH94" i="1"/>
  <c r="AI97" i="1"/>
  <c r="CB97" i="1" s="1"/>
  <c r="AH97" i="1"/>
  <c r="AH92" i="1"/>
  <c r="AI91" i="1"/>
  <c r="CB91" i="1" s="1"/>
  <c r="AH91" i="1"/>
  <c r="AI104" i="1"/>
  <c r="CB104" i="1" s="1"/>
  <c r="AH104" i="1"/>
  <c r="AH103" i="1"/>
  <c r="AI105" i="1"/>
  <c r="CB105" i="1" s="1"/>
  <c r="AH105" i="1"/>
  <c r="AI26" i="1"/>
  <c r="AH26" i="1"/>
  <c r="AI25" i="1"/>
  <c r="AH25" i="1"/>
  <c r="AI29" i="1"/>
  <c r="AH29" i="1"/>
  <c r="AI27" i="1"/>
  <c r="AH27" i="1"/>
  <c r="AI28" i="1"/>
  <c r="AH28" i="1"/>
  <c r="AI31" i="1"/>
  <c r="AH31" i="1"/>
  <c r="AI30" i="1"/>
  <c r="AH30" i="1"/>
  <c r="AI5" i="1"/>
  <c r="CB5" i="1" s="1"/>
  <c r="AH5" i="1"/>
  <c r="AI6" i="1"/>
  <c r="CB6" i="1" s="1"/>
  <c r="AH6" i="1"/>
  <c r="CB418" i="1" l="1"/>
  <c r="CB423" i="1"/>
  <c r="CB424" i="1"/>
  <c r="CB419" i="1"/>
  <c r="CB31" i="1"/>
  <c r="AP31" i="1"/>
  <c r="AQ31" i="1" s="1"/>
  <c r="CB432" i="1"/>
  <c r="AP432" i="1"/>
  <c r="AQ432" i="1" s="1"/>
  <c r="CB426" i="1"/>
  <c r="AP426" i="1"/>
  <c r="AQ426" i="1" s="1"/>
  <c r="CB428" i="1"/>
  <c r="AP428" i="1"/>
  <c r="AQ428" i="1" s="1"/>
  <c r="CB422" i="1"/>
  <c r="AP422" i="1"/>
  <c r="AQ422" i="1" s="1"/>
  <c r="CB421" i="1"/>
  <c r="AP421" i="1"/>
  <c r="AQ421" i="1" s="1"/>
  <c r="CB420" i="1"/>
  <c r="AP420" i="1"/>
  <c r="AQ420" i="1" s="1"/>
  <c r="CB415" i="1"/>
  <c r="AP415" i="1"/>
  <c r="AQ415" i="1" s="1"/>
  <c r="CB413" i="1"/>
  <c r="AP413" i="1"/>
  <c r="AQ413" i="1" s="1"/>
  <c r="CB411" i="1"/>
  <c r="AP411" i="1"/>
  <c r="AQ411" i="1" s="1"/>
  <c r="CB460" i="1"/>
  <c r="AP460" i="1"/>
  <c r="AQ460" i="1" s="1"/>
  <c r="CB462" i="1"/>
  <c r="AP462" i="1"/>
  <c r="AQ462" i="1" s="1"/>
  <c r="CB30" i="1"/>
  <c r="AP30" i="1"/>
  <c r="AQ30" i="1" s="1"/>
  <c r="CB29" i="1"/>
  <c r="AP29" i="1"/>
  <c r="AQ29" i="1" s="1"/>
  <c r="CB433" i="1"/>
  <c r="AP433" i="1"/>
  <c r="AQ433" i="1" s="1"/>
  <c r="CB429" i="1"/>
  <c r="AP429" i="1"/>
  <c r="AQ429" i="1" s="1"/>
  <c r="CB427" i="1"/>
  <c r="AP427" i="1"/>
  <c r="AQ427" i="1" s="1"/>
  <c r="CB425" i="1"/>
  <c r="AP425" i="1"/>
  <c r="AQ425" i="1" s="1"/>
  <c r="CB414" i="1"/>
  <c r="AP414" i="1"/>
  <c r="AQ414" i="1" s="1"/>
  <c r="CB416" i="1"/>
  <c r="AP416" i="1"/>
  <c r="AQ416" i="1" s="1"/>
  <c r="CB410" i="1"/>
  <c r="AP410" i="1"/>
  <c r="AQ410" i="1" s="1"/>
  <c r="CB412" i="1"/>
  <c r="AP412" i="1"/>
  <c r="AQ412" i="1" s="1"/>
  <c r="CB461" i="1"/>
  <c r="AP461" i="1"/>
  <c r="AQ461" i="1" s="1"/>
  <c r="CB456" i="1"/>
  <c r="AP456" i="1"/>
  <c r="AQ456" i="1" s="1"/>
  <c r="CB459" i="1"/>
  <c r="AP459" i="1"/>
  <c r="AQ459" i="1" s="1"/>
  <c r="CB27" i="1"/>
  <c r="AP27" i="1"/>
  <c r="AQ27" i="1" s="1"/>
  <c r="CB25" i="1"/>
  <c r="AP25" i="1"/>
  <c r="AQ25" i="1" s="1"/>
  <c r="CB458" i="1"/>
  <c r="AP458" i="1"/>
  <c r="AQ458" i="1" s="1"/>
  <c r="CB28" i="1"/>
  <c r="AP28" i="1"/>
  <c r="AQ28" i="1" s="1"/>
  <c r="CB26" i="1"/>
  <c r="AP26" i="1"/>
  <c r="AQ26" i="1" s="1"/>
</calcChain>
</file>

<file path=xl/sharedStrings.xml><?xml version="1.0" encoding="utf-8"?>
<sst xmlns="http://schemas.openxmlformats.org/spreadsheetml/2006/main" count="31185" uniqueCount="3176">
  <si>
    <t>City</t>
  </si>
  <si>
    <t>Year</t>
  </si>
  <si>
    <t>Office</t>
  </si>
  <si>
    <t>District</t>
  </si>
  <si>
    <t>Threshold</t>
  </si>
  <si>
    <t>Maximum number of election rounds to win</t>
  </si>
  <si>
    <t xml:space="preserve">Description of electoral system </t>
  </si>
  <si>
    <t>Government structure</t>
  </si>
  <si>
    <t>At-large or districts</t>
  </si>
  <si>
    <t xml:space="preserve">Decisive primary? </t>
  </si>
  <si>
    <t>Stage at which winner was declared</t>
  </si>
  <si>
    <t>Decisive election month</t>
  </si>
  <si>
    <t>Term length</t>
  </si>
  <si>
    <t>Term limits</t>
  </si>
  <si>
    <t>Part-time or full-time</t>
  </si>
  <si>
    <t>Filing fee</t>
  </si>
  <si>
    <t>Signature requirement</t>
  </si>
  <si>
    <t xml:space="preserve">Signatures in lieu of filing fee </t>
  </si>
  <si>
    <t>Sex of winner</t>
  </si>
  <si>
    <t>Notes</t>
  </si>
  <si>
    <t>Alameda</t>
  </si>
  <si>
    <t>City Council</t>
  </si>
  <si>
    <t>Citywide</t>
  </si>
  <si>
    <t>N/A</t>
  </si>
  <si>
    <t>Staggered</t>
  </si>
  <si>
    <t xml:space="preserve">At-large  </t>
  </si>
  <si>
    <t>General</t>
  </si>
  <si>
    <t>November</t>
  </si>
  <si>
    <t>N</t>
  </si>
  <si>
    <t>No</t>
  </si>
  <si>
    <t>M</t>
  </si>
  <si>
    <t>n/a</t>
  </si>
  <si>
    <t>Y</t>
  </si>
  <si>
    <t>Frank Matarrese</t>
  </si>
  <si>
    <t>Asian</t>
  </si>
  <si>
    <t>Yes</t>
  </si>
  <si>
    <t>Robin Torello</t>
  </si>
  <si>
    <t>Jim Oddie</t>
  </si>
  <si>
    <t>Mayor</t>
  </si>
  <si>
    <t>Single-winner plurality</t>
  </si>
  <si>
    <t>F</t>
  </si>
  <si>
    <t>Trish Spencer</t>
  </si>
  <si>
    <t>Marilyn Ezzy Ashcraft</t>
  </si>
  <si>
    <t>Tony Daysog</t>
  </si>
  <si>
    <t>Lena Tam</t>
  </si>
  <si>
    <t>Rob Bonata</t>
  </si>
  <si>
    <t>Marie Gilmore</t>
  </si>
  <si>
    <t>Doug DeHaan</t>
  </si>
  <si>
    <t>Beverly J. Johnson</t>
  </si>
  <si>
    <t>Al DeWitt</t>
  </si>
  <si>
    <t>Barbara Kerr</t>
  </si>
  <si>
    <t>Melanie Sweeney Griffith</t>
  </si>
  <si>
    <t>Anaheim</t>
  </si>
  <si>
    <t>At-large</t>
  </si>
  <si>
    <t>James D. Vanderbilt</t>
  </si>
  <si>
    <t>Henry Vandermeir</t>
  </si>
  <si>
    <t>Kris Murray</t>
  </si>
  <si>
    <t>Tom Tait</t>
  </si>
  <si>
    <t>Jordan Brandman</t>
  </si>
  <si>
    <t>Frank Barbaro</t>
  </si>
  <si>
    <t>Lucille Kring</t>
  </si>
  <si>
    <t>Gail Eastman</t>
  </si>
  <si>
    <t>Kris Murrary</t>
  </si>
  <si>
    <t>Harry Sidhu</t>
  </si>
  <si>
    <t>Lorri Galloway</t>
  </si>
  <si>
    <t>Bob Hernandez</t>
  </si>
  <si>
    <t>Curt Pringle</t>
  </si>
  <si>
    <t>Richard Chavez</t>
  </si>
  <si>
    <t>Shirely McCracken</t>
  </si>
  <si>
    <t>Berkeley</t>
  </si>
  <si>
    <t>City Auditor</t>
  </si>
  <si>
    <t>RCV</t>
  </si>
  <si>
    <t>First round</t>
  </si>
  <si>
    <t>Mid-term</t>
  </si>
  <si>
    <t>Yes, 2010</t>
  </si>
  <si>
    <t>Ann-Marie Hogan</t>
  </si>
  <si>
    <t>City Council D1</t>
  </si>
  <si>
    <t>D01</t>
  </si>
  <si>
    <t>Linda Maio</t>
  </si>
  <si>
    <t>City Council D4</t>
  </si>
  <si>
    <t>D04</t>
  </si>
  <si>
    <t>Jesse Arreguin</t>
  </si>
  <si>
    <t>City Council D7</t>
  </si>
  <si>
    <t>D07</t>
  </si>
  <si>
    <t>Kriss Worthington</t>
  </si>
  <si>
    <t>City Council D8</t>
  </si>
  <si>
    <t>D08</t>
  </si>
  <si>
    <t>Fourth round</t>
  </si>
  <si>
    <t>Lori Droste</t>
  </si>
  <si>
    <t>Presidential</t>
  </si>
  <si>
    <t>Tom Bates</t>
  </si>
  <si>
    <t>City Council D2</t>
  </si>
  <si>
    <t>D02</t>
  </si>
  <si>
    <t>Darryl Moore</t>
  </si>
  <si>
    <t>City Council D3</t>
  </si>
  <si>
    <t>D03</t>
  </si>
  <si>
    <t>Max Anderson</t>
  </si>
  <si>
    <t>City Council D5</t>
  </si>
  <si>
    <t>D05</t>
  </si>
  <si>
    <t>Laurie Capitelli</t>
  </si>
  <si>
    <t>City Council D6</t>
  </si>
  <si>
    <t>D06</t>
  </si>
  <si>
    <t>Susan Wengraf</t>
  </si>
  <si>
    <t>Second Round</t>
  </si>
  <si>
    <t>Gordon Wozniak</t>
  </si>
  <si>
    <t>Dona Spring</t>
  </si>
  <si>
    <t>Betty Olds</t>
  </si>
  <si>
    <t>Margaret Breland</t>
  </si>
  <si>
    <t>Maudelle Miller Shirek</t>
  </si>
  <si>
    <t>Miriam "Mim" Hawley</t>
  </si>
  <si>
    <t>Oakland</t>
  </si>
  <si>
    <t>Brenda Roberts</t>
  </si>
  <si>
    <t>Sixteenth round</t>
  </si>
  <si>
    <t>Libby Schaaf</t>
  </si>
  <si>
    <t>Fifth round</t>
  </si>
  <si>
    <t>Abel Guillen</t>
  </si>
  <si>
    <t>School Director D2</t>
  </si>
  <si>
    <t>Aimee Eng</t>
  </si>
  <si>
    <t>Annie Campbell Washington</t>
  </si>
  <si>
    <t>School Director D4</t>
  </si>
  <si>
    <t>Nina Senn</t>
  </si>
  <si>
    <t>Desley Brooks</t>
  </si>
  <si>
    <t>School Director D6</t>
  </si>
  <si>
    <t>Shanthi Gonzalez</t>
  </si>
  <si>
    <t>City Attorney</t>
  </si>
  <si>
    <t>Barbara Parker</t>
  </si>
  <si>
    <t>City Council  At Large</t>
  </si>
  <si>
    <t>Rebecca Kaplan</t>
  </si>
  <si>
    <t>Seventh round</t>
  </si>
  <si>
    <t>Dan Kalb</t>
  </si>
  <si>
    <t>School Director D1</t>
  </si>
  <si>
    <t>Jody London</t>
  </si>
  <si>
    <t>Sixth round</t>
  </si>
  <si>
    <t>Lynette Gibson-McElhaney</t>
  </si>
  <si>
    <t>School Director D3</t>
  </si>
  <si>
    <t>Third round</t>
  </si>
  <si>
    <t>Jumoke Hinton Hodge</t>
  </si>
  <si>
    <t>Noel Gallo</t>
  </si>
  <si>
    <t>School Director D5</t>
  </si>
  <si>
    <t>Rosie Torres</t>
  </si>
  <si>
    <t>Larry E. Reid</t>
  </si>
  <si>
    <t>School Director D7</t>
  </si>
  <si>
    <t>James Harris</t>
  </si>
  <si>
    <t>Courtney Ruby</t>
  </si>
  <si>
    <t>Tenth Round</t>
  </si>
  <si>
    <t>Jean Quan</t>
  </si>
  <si>
    <t>Patricia Kernighan</t>
  </si>
  <si>
    <t>David Kakishiba</t>
  </si>
  <si>
    <t>Gary D. Yee</t>
  </si>
  <si>
    <t>Christopher Dobbins</t>
  </si>
  <si>
    <t>Majority primary</t>
  </si>
  <si>
    <t>Primary (decisive)</t>
  </si>
  <si>
    <t>June</t>
  </si>
  <si>
    <t>John Russo</t>
  </si>
  <si>
    <t>City Council At Large</t>
  </si>
  <si>
    <t xml:space="preserve">Presidential </t>
  </si>
  <si>
    <t>Jane Brunner</t>
  </si>
  <si>
    <t>Nancy Nadel</t>
  </si>
  <si>
    <t>Ignacio De La Fuente</t>
  </si>
  <si>
    <t>Alice A. Spearman</t>
  </si>
  <si>
    <t>Auditor</t>
  </si>
  <si>
    <t>Ronald V. Dellums</t>
  </si>
  <si>
    <t>Special</t>
  </si>
  <si>
    <t>May</t>
  </si>
  <si>
    <t>odd year</t>
  </si>
  <si>
    <t>Henry Chang, Jr.</t>
  </si>
  <si>
    <t>Kerry Hamill</t>
  </si>
  <si>
    <t>Gregory Hodge</t>
  </si>
  <si>
    <t>March</t>
  </si>
  <si>
    <t>Roland E. Smith</t>
  </si>
  <si>
    <t>Jerry Brown</t>
  </si>
  <si>
    <t>Danny Wan</t>
  </si>
  <si>
    <t>2 Asian</t>
  </si>
  <si>
    <t>1 Asian</t>
  </si>
  <si>
    <t>White</t>
  </si>
  <si>
    <t>Dan Siegel</t>
  </si>
  <si>
    <t>Jason Hodge</t>
  </si>
  <si>
    <t>Richmond</t>
  </si>
  <si>
    <t>Block vote</t>
  </si>
  <si>
    <t>Plurality</t>
  </si>
  <si>
    <t>NA</t>
  </si>
  <si>
    <t>Eduardo Martinez</t>
  </si>
  <si>
    <t>Charles Carpenter</t>
  </si>
  <si>
    <t>Gayle McLaughlin</t>
  </si>
  <si>
    <t>Jovanka Beckles</t>
  </si>
  <si>
    <t>City Council (Short Term)</t>
  </si>
  <si>
    <t>Jael Myrick</t>
  </si>
  <si>
    <t>Tom Butt</t>
  </si>
  <si>
    <t>Gary Bell</t>
  </si>
  <si>
    <t>Nat Bates</t>
  </si>
  <si>
    <t>Courtland "Corky" Booze</t>
  </si>
  <si>
    <t>Becky Kolberg</t>
  </si>
  <si>
    <t>Jim Rogers</t>
  </si>
  <si>
    <t>Jeff Ritterman</t>
  </si>
  <si>
    <t>Nagaraja Rao</t>
  </si>
  <si>
    <t>Nathanial "Nate" Bates</t>
  </si>
  <si>
    <t>Ludmyrna "Myrna" Lopez</t>
  </si>
  <si>
    <t>Maria T. Viramontes</t>
  </si>
  <si>
    <t>Tony K. Thurmond</t>
  </si>
  <si>
    <t>Christine McGinnis</t>
  </si>
  <si>
    <t>John E. Marquez</t>
  </si>
  <si>
    <t>African American</t>
  </si>
  <si>
    <t>Mindell Penn</t>
  </si>
  <si>
    <t>Nethaniel "Nat" Bates</t>
  </si>
  <si>
    <t>Roger Henry</t>
  </si>
  <si>
    <t>Richard Griffin</t>
  </si>
  <si>
    <t>Charles H. Belcher</t>
  </si>
  <si>
    <t>Irma Anderson</t>
  </si>
  <si>
    <t>N/a</t>
  </si>
  <si>
    <t>Alex Evans</t>
  </si>
  <si>
    <t>San Francisco</t>
  </si>
  <si>
    <t>Assessor-Recorder</t>
  </si>
  <si>
    <t>SEC. 815. CANDIDATE STATEMENT FEES</t>
  </si>
  <si>
    <t>Yes, 2004</t>
  </si>
  <si>
    <t>Carmen Chu</t>
  </si>
  <si>
    <t>Christine Hughes</t>
  </si>
  <si>
    <t>Mary Jung</t>
  </si>
  <si>
    <t xml:space="preserve">Public Defender </t>
  </si>
  <si>
    <t>Jeff Adachi</t>
  </si>
  <si>
    <t xml:space="preserve">Board of Supervisors </t>
  </si>
  <si>
    <t>Mark Farrell</t>
  </si>
  <si>
    <t>Katy Tang</t>
  </si>
  <si>
    <t>Jane Kim</t>
  </si>
  <si>
    <t>Scott Wiener</t>
  </si>
  <si>
    <t>D10</t>
  </si>
  <si>
    <t>Second round</t>
  </si>
  <si>
    <t>Malia Cohen</t>
  </si>
  <si>
    <t xml:space="preserve">City Attorney </t>
  </si>
  <si>
    <t>Odd year</t>
  </si>
  <si>
    <t>Dennis J Herrera</t>
  </si>
  <si>
    <t>Treasurer</t>
  </si>
  <si>
    <t>Jose Cisneros</t>
  </si>
  <si>
    <t>Eric Mar</t>
  </si>
  <si>
    <t>David Chiu</t>
  </si>
  <si>
    <t>London Breed</t>
  </si>
  <si>
    <t>Norman Yee</t>
  </si>
  <si>
    <t>D09</t>
  </si>
  <si>
    <t>David Campos</t>
  </si>
  <si>
    <t>D11</t>
  </si>
  <si>
    <t>John Avalos</t>
  </si>
  <si>
    <t xml:space="preserve">District Attorney </t>
  </si>
  <si>
    <t>George Gascon</t>
  </si>
  <si>
    <t>Twelfth round</t>
  </si>
  <si>
    <t>Ed Lee</t>
  </si>
  <si>
    <t xml:space="preserve">Sheriff </t>
  </si>
  <si>
    <t>Ross Mirkarmi</t>
  </si>
  <si>
    <t>Phil Ting</t>
  </si>
  <si>
    <t>Mark E. Farrell</t>
  </si>
  <si>
    <t>Twentieth round</t>
  </si>
  <si>
    <t>Full-time</t>
  </si>
  <si>
    <t>Sean R Elsbernd</t>
  </si>
  <si>
    <t>Kamala Harris</t>
  </si>
  <si>
    <t>Gavin Newsom</t>
  </si>
  <si>
    <t>Michael Hennessey</t>
  </si>
  <si>
    <t>Michela Alioto-Pier</t>
  </si>
  <si>
    <t>Ed Jew</t>
  </si>
  <si>
    <t>Chris Daly</t>
  </si>
  <si>
    <t>Bevan Dufty</t>
  </si>
  <si>
    <t>Sophie Maxwell</t>
  </si>
  <si>
    <t>Dennis Herrera</t>
  </si>
  <si>
    <t>Jake McGoldrick</t>
  </si>
  <si>
    <t>Aaron Peskin</t>
  </si>
  <si>
    <t>Nineteenth round</t>
  </si>
  <si>
    <t>Eleventh round</t>
  </si>
  <si>
    <t>Tom Ammiano</t>
  </si>
  <si>
    <t>Gerardo Sandoval</t>
  </si>
  <si>
    <t>Majority runoff</t>
  </si>
  <si>
    <t>Runoff</t>
  </si>
  <si>
    <t>December</t>
  </si>
  <si>
    <t>Mabel Teng</t>
  </si>
  <si>
    <t>Fiona Ma</t>
  </si>
  <si>
    <t xml:space="preserve">D10 </t>
  </si>
  <si>
    <t>Susan Leal</t>
  </si>
  <si>
    <t>Concurrent</t>
  </si>
  <si>
    <t>Leland Yee</t>
  </si>
  <si>
    <t>Matt Gonzales</t>
  </si>
  <si>
    <t>Tony Hall</t>
  </si>
  <si>
    <t>Mark Leno</t>
  </si>
  <si>
    <t>Terrence Hallinan</t>
  </si>
  <si>
    <t>Willie Lewis Brown Jr.</t>
  </si>
  <si>
    <t>Amos Brown</t>
  </si>
  <si>
    <t>Majority Primary</t>
  </si>
  <si>
    <t>Doris M. Ward</t>
  </si>
  <si>
    <t>Jeff Brown</t>
  </si>
  <si>
    <t>general</t>
  </si>
  <si>
    <t>Louise Renee</t>
  </si>
  <si>
    <t>Barbara Kaufman</t>
  </si>
  <si>
    <t>Jose Medina</t>
  </si>
  <si>
    <t>Leslie R. Katz</t>
  </si>
  <si>
    <t>Michael Yaki</t>
  </si>
  <si>
    <t>Sue Bierman</t>
  </si>
  <si>
    <t>runoff</t>
  </si>
  <si>
    <t>San Jose</t>
  </si>
  <si>
    <t>Sam Liccardo</t>
  </si>
  <si>
    <t>Bob Nunez</t>
  </si>
  <si>
    <t>Steve Preminger</t>
  </si>
  <si>
    <t>Charles "Chappie" Jones</t>
  </si>
  <si>
    <t>Raul Peralez</t>
  </si>
  <si>
    <t>Magdalena Carrasco</t>
  </si>
  <si>
    <t>Tam Nguyen</t>
  </si>
  <si>
    <t>City Council D9</t>
  </si>
  <si>
    <t>Donald Rocha</t>
  </si>
  <si>
    <t>Ash Kalra</t>
  </si>
  <si>
    <t>Kansen Chu</t>
  </si>
  <si>
    <t>Pierluigi C. Oliverio</t>
  </si>
  <si>
    <t>Rose Herrera</t>
  </si>
  <si>
    <t>City Council D10</t>
  </si>
  <si>
    <t>Johnny Khamis</t>
  </si>
  <si>
    <t>Chuck Reed</t>
  </si>
  <si>
    <t>Pete Constant</t>
  </si>
  <si>
    <t>Xavier Campos</t>
  </si>
  <si>
    <t>Madison Nguyen</t>
  </si>
  <si>
    <t>Nancy Pyle</t>
  </si>
  <si>
    <t>Nora Campos</t>
  </si>
  <si>
    <t>Judy Chirco</t>
  </si>
  <si>
    <t>September</t>
  </si>
  <si>
    <t>Forrest Williams</t>
  </si>
  <si>
    <t>Ken Yeager</t>
  </si>
  <si>
    <t>David D. Cortese</t>
  </si>
  <si>
    <t xml:space="preserve">Ron Gonzales </t>
  </si>
  <si>
    <t>Linda J. Lezotte</t>
  </si>
  <si>
    <t>Cindy Chavez</t>
  </si>
  <si>
    <t>Terrence "Terry" Gregory</t>
  </si>
  <si>
    <t>Pat Dando</t>
  </si>
  <si>
    <t>Manny Diaz</t>
  </si>
  <si>
    <t>George M. Shirakawa, Jr.</t>
  </si>
  <si>
    <t>John Diquisto</t>
  </si>
  <si>
    <t>Charlotte B. Powers</t>
  </si>
  <si>
    <t>Margie Fernandes</t>
  </si>
  <si>
    <t>Frank Fiscalini</t>
  </si>
  <si>
    <t>Alice Woody</t>
  </si>
  <si>
    <t>San Leandro</t>
  </si>
  <si>
    <t>Part-time</t>
  </si>
  <si>
    <t>Pauline Russo Cutter</t>
  </si>
  <si>
    <t>RCV, at-large numbered posts</t>
  </si>
  <si>
    <t>Deborah Cox</t>
  </si>
  <si>
    <t>Lee Thomas</t>
  </si>
  <si>
    <t>Corina Lopez</t>
  </si>
  <si>
    <t>Ursula Reed</t>
  </si>
  <si>
    <t>Benny Lee</t>
  </si>
  <si>
    <t>Jim Prola</t>
  </si>
  <si>
    <t>Stephen H. Cassidy</t>
  </si>
  <si>
    <t>Michael J. Gregory</t>
  </si>
  <si>
    <t>Diane Souza</t>
  </si>
  <si>
    <t>Linda Perry</t>
  </si>
  <si>
    <t>Joyce Rutledge Starsciak</t>
  </si>
  <si>
    <t>Anthony B. "Tony" Santos</t>
  </si>
  <si>
    <t>Bill Stephens</t>
  </si>
  <si>
    <t>Majority runoff with at-large numbered posts</t>
  </si>
  <si>
    <t>Surlene G. Grant</t>
  </si>
  <si>
    <t>February</t>
  </si>
  <si>
    <t>Joyce Rutledge Starosciak</t>
  </si>
  <si>
    <t>Shelia Young</t>
  </si>
  <si>
    <t>Orval "Ob" Badger</t>
  </si>
  <si>
    <t>Glenda Nardine</t>
  </si>
  <si>
    <t>Plurality with at-large numbered posts</t>
  </si>
  <si>
    <t>Bob Glaze</t>
  </si>
  <si>
    <t>Santa Ana</t>
  </si>
  <si>
    <t>Miguel A. Pulido</t>
  </si>
  <si>
    <t>City Council Ward 2</t>
  </si>
  <si>
    <t>Ward 2</t>
  </si>
  <si>
    <t>Michele C. Martinez</t>
  </si>
  <si>
    <t>City Council Ward 4</t>
  </si>
  <si>
    <t>Ward 4</t>
  </si>
  <si>
    <t>David Benavides</t>
  </si>
  <si>
    <t>City Council Ward 6</t>
  </si>
  <si>
    <t>Ward 6</t>
  </si>
  <si>
    <t>Sal Tinajero</t>
  </si>
  <si>
    <t>City Council Ward 1</t>
  </si>
  <si>
    <t>Ward 1</t>
  </si>
  <si>
    <t>Vincent F. Sarmiento</t>
  </si>
  <si>
    <t>City Council Ward 3</t>
  </si>
  <si>
    <t>Ward 3</t>
  </si>
  <si>
    <t>Angelica Amezcua</t>
  </si>
  <si>
    <t>City Council Ward 5</t>
  </si>
  <si>
    <t>Ward 5</t>
  </si>
  <si>
    <t>Roman Reyna</t>
  </si>
  <si>
    <t>Carlos Bustamante</t>
  </si>
  <si>
    <t>Claudia Alvarez</t>
  </si>
  <si>
    <t>Jose Solorio</t>
  </si>
  <si>
    <t>Lisa Bist</t>
  </si>
  <si>
    <t>Alberta Dolores Christy</t>
  </si>
  <si>
    <t>Mike Garcia</t>
  </si>
  <si>
    <t>Brett Elliott Franklin</t>
  </si>
  <si>
    <t>Santa Clara</t>
  </si>
  <si>
    <t>City Council Seat 2</t>
  </si>
  <si>
    <t>Patrick Kolstad</t>
  </si>
  <si>
    <t>City Council Seat 5</t>
  </si>
  <si>
    <t>Dominic Caserta</t>
  </si>
  <si>
    <t xml:space="preserve">Jaime L. Matthews </t>
  </si>
  <si>
    <t>City Council Seat 3</t>
  </si>
  <si>
    <t>Debi Davis</t>
  </si>
  <si>
    <t>City Council Seat 4</t>
  </si>
  <si>
    <t>Jerry Marsalli</t>
  </si>
  <si>
    <t>City Council Seat 6</t>
  </si>
  <si>
    <t>Lisa M. Gilmor</t>
  </si>
  <si>
    <t>City Council Seat 7</t>
  </si>
  <si>
    <t>Teresa O'Neill</t>
  </si>
  <si>
    <t>Patricia Mahan</t>
  </si>
  <si>
    <t>Will Kennedy</t>
  </si>
  <si>
    <t>Kevin Moore</t>
  </si>
  <si>
    <t>Jaime McLeod</t>
  </si>
  <si>
    <t>Joe Kornder</t>
  </si>
  <si>
    <t>Aldyth Parle</t>
  </si>
  <si>
    <t>Rod Diridon, Jr.</t>
  </si>
  <si>
    <t>John L. McLemore</t>
  </si>
  <si>
    <t>Stockton</t>
  </si>
  <si>
    <t>http://www.stocktongov.com/files/2016_Candidate_Handbook.pdf</t>
  </si>
  <si>
    <t>Elbert H. Holman, Jr.</t>
  </si>
  <si>
    <t>Susan Vander Schaaf</t>
  </si>
  <si>
    <t>Renee Elliott</t>
  </si>
  <si>
    <t>Susan Lofthus</t>
  </si>
  <si>
    <t>Christina Fugazi</t>
  </si>
  <si>
    <t>Anthony Silva</t>
  </si>
  <si>
    <t>Kathy Miller</t>
  </si>
  <si>
    <t>Moses Zapien</t>
  </si>
  <si>
    <t>Michael Tubbs</t>
  </si>
  <si>
    <t>Paul Canepa</t>
  </si>
  <si>
    <t>Susan T. Eggman</t>
  </si>
  <si>
    <t>Ann Johnston</t>
  </si>
  <si>
    <t>Diana Lowery</t>
  </si>
  <si>
    <t>Dale Fritchen</t>
  </si>
  <si>
    <t>Steve Bestolarides</t>
  </si>
  <si>
    <t>Leslie Martin</t>
  </si>
  <si>
    <t>Edward Chavez</t>
  </si>
  <si>
    <t>Dan Chapman</t>
  </si>
  <si>
    <t>Clem Lee</t>
  </si>
  <si>
    <t>Rebecca G. Nabors</t>
  </si>
  <si>
    <t>Gary S. Giovanetti</t>
  </si>
  <si>
    <t>Gary A. Podesto</t>
  </si>
  <si>
    <t>Richard Nickerson</t>
  </si>
  <si>
    <t>Frank "Larry" Ruhstaller</t>
  </si>
  <si>
    <t>Gloria C. Nomura</t>
  </si>
  <si>
    <t>Election data</t>
  </si>
  <si>
    <t>San Fransisco</t>
  </si>
  <si>
    <t>CA</t>
  </si>
  <si>
    <t>All offices currently using RCV</t>
  </si>
  <si>
    <t>source = city</t>
  </si>
  <si>
    <t>source = alameda county</t>
  </si>
  <si>
    <t>Mayor, Council</t>
  </si>
  <si>
    <t>source (1992-1996, 2003-2015) = santa clara county</t>
  </si>
  <si>
    <t>source = santa clara county</t>
  </si>
  <si>
    <t>source = orange county - http://www.ocvote.com/data/election-results-archive/</t>
  </si>
  <si>
    <t>source = san joaquin county - http://www.sjcrov.org/results.html</t>
  </si>
  <si>
    <t>source - contra costa county - http://www.cocovote.us/elections-results/election-results/</t>
  </si>
  <si>
    <t>Since most candidates do not explicitly state their race in the campaigns in which we are interested and since most race categories are often too broad and vague to accurately represent the diversity in these Bay Area communities, getting an accurate measure of candidates' self-identified races can be difficult.  As this is the case, we have used the tools that would be available to an interested voter researching the candidates to make an inference of race, such as photographs, memberships in clubs and trade associations, and news articles.  Without such research, it would be impossible to make a reasonably accurate picture of descriptive representation in city governments in the Bay Area. Furthermore, there are more "races" than can fit in a small number of categories.  Filipinos and most other Pacific Islanders are therefore classified as "Asian".  Most of those labelled "n/a" without "could not find" can be assumed to be white, but this is probably the most difficult race to positively identify.  Those that are white that were positively identified are labelled as such.</t>
  </si>
  <si>
    <t>San Fran</t>
  </si>
  <si>
    <t>http://library.amlegal.com/nxt/gateway.dll/California/charter_sf/articleiilegislativebranch?f=templates$fn=default.htm$3.0$vid=amlegal:sanfrancisco_ca$anc=JD_2.101</t>
  </si>
  <si>
    <t>SEC. 2.101. TERM OF OFFICE. of SF charter</t>
  </si>
  <si>
    <t>http://alamedaca.gov/sites/default/files/department-files/2013-04-22/introduction_ii.pdf</t>
  </si>
  <si>
    <t>http://www.codepublishing.com/CA/SantaClara/#!/SantaClaraCH.html</t>
  </si>
  <si>
    <t>Anaheim and Santa Ana</t>
  </si>
  <si>
    <t>https://docs.google.com/document/d/1R5MnLO-OU7Myhe4Dz6ImgRZcy_Mg-48ulWNPuclcRLc/edit</t>
  </si>
  <si>
    <t>http://www.ci.richmond.ca.us/DocumentCenter/Home/View/5129</t>
  </si>
  <si>
    <t>http://www.stocktongov.com/government/council/default.html</t>
  </si>
  <si>
    <t>City charter</t>
  </si>
  <si>
    <t>s 265 and 270</t>
  </si>
  <si>
    <t>http://qcode.us/codes/sanleandro/</t>
  </si>
  <si>
    <t>Wages of elected officials</t>
  </si>
  <si>
    <t>publicpay.ca.gov</t>
  </si>
  <si>
    <t>for 2012-2014</t>
  </si>
  <si>
    <t>Oakland school directors</t>
  </si>
  <si>
    <t>http://www.goinfocenter.org/oakland-board-of-education-e28093-the-basics-v2%20(1).pdf</t>
  </si>
  <si>
    <t>For 2009</t>
  </si>
  <si>
    <t>http://spreadsheets.latimes.com/city-council-salaries/</t>
  </si>
  <si>
    <t>http://sfgov.org/civilservice/sites/sfgov.org.civilservice/files/migrated/FileCenter/Documents/civil_service/Salary_Setting_for_CCSF_Board_of_Supervisors_LM.pdf</t>
  </si>
  <si>
    <t>For Alameda</t>
  </si>
  <si>
    <t>City Clerk and City Charter</t>
  </si>
  <si>
    <t>http://sfgov.org/civilservice/sites/sfgov.org.civilservice/files/migrated/FileCenter/Documents/civil_service/BOS_EO_Annual_Salary_Adjustments_FY2013_14_4_15_13_staff_report_.pdf</t>
  </si>
  <si>
    <t>San fran and other cities</t>
  </si>
  <si>
    <t>http://sfgov.org/civilservice/sites/sfgov.org.civilservice/files/%238%20-%20Final%20Report%20Salary%20Setting%20for%20the%20CCSF%20Board%20of%20Sups%20for%20a%205%20Year%20Cycle.pdf</t>
  </si>
  <si>
    <t>Oakland mayor</t>
  </si>
  <si>
    <t>http://www.sfgate.com/bayarea/matier-ross/article/Oakland-Mayor-Jean-Quan-slashing-salary-25-2477161.php</t>
  </si>
  <si>
    <t>Filing fees</t>
  </si>
  <si>
    <t>Berkeley 2014</t>
  </si>
  <si>
    <t>http://www.ci.berkeley.ca.us/uploadedFiles/Clerk/Elections/SIL%20candidate%20PUBLIC%20procedures2014.pdf</t>
  </si>
  <si>
    <t>http://www.ci.berkeley.ca.us/uploadedFiles/Clerk/Elections/Ballot%20Measures%202004%20march.pdf</t>
  </si>
  <si>
    <t>1.12.090 CANDIDATE FILING FEES.</t>
  </si>
  <si>
    <t>Anaheim municipal code</t>
  </si>
  <si>
    <t>City charters</t>
  </si>
  <si>
    <t>San Jose Municipal Code (SJMC) section 12.05.040 (1996 to present) and SJMC section 2.20.040 (pre 1996)).</t>
  </si>
  <si>
    <t>Public financing</t>
  </si>
  <si>
    <t>Limited Public Financing Act</t>
  </si>
  <si>
    <t>http://www.oaklandauditor.com/audits/reports</t>
  </si>
  <si>
    <t>http://www2.oaklandnet.com/oakca1/groups/cityadministrator/documents/memorandum/oak056296.pdf</t>
  </si>
  <si>
    <t>http://www.commoncause.org/states/california/research-and-reports/money-talks.pdf</t>
  </si>
  <si>
    <t>Chapter 2.43 - MATCHING PUBLIC FUNDING OF RICHMOND ELECTION CAMPAIGNS</t>
  </si>
  <si>
    <t>http://www.sfethics.org/ethics/2012/05/public-finance-program.html</t>
  </si>
  <si>
    <t>And City of Richmond City Clerk's office</t>
  </si>
  <si>
    <t>Majority primary with at-large numbered posts</t>
  </si>
  <si>
    <t>Single-winner RCV</t>
  </si>
  <si>
    <t>Top two primary with at-large numbered posts</t>
  </si>
  <si>
    <t>Staggered or concurrent election</t>
  </si>
  <si>
    <t>Size of council</t>
  </si>
  <si>
    <t xml:space="preserve">Primary (not decisive) </t>
  </si>
  <si>
    <t xml:space="preserve">Electoral System </t>
  </si>
  <si>
    <t>Use of RCV</t>
  </si>
  <si>
    <t>For future:</t>
  </si>
  <si>
    <t>$35 for Berkeley in 2004</t>
  </si>
  <si>
    <r>
      <rPr>
        <b/>
        <sz val="10"/>
        <color rgb="FF000000"/>
        <rFont val="Arial"/>
        <family val="2"/>
      </rPr>
      <t>Statement costs</t>
    </r>
    <r>
      <rPr>
        <sz val="10"/>
        <color rgb="FF000000"/>
        <rFont val="Arial"/>
        <family val="2"/>
      </rPr>
      <t xml:space="preserve">  - eg. see p D4 of http://www.cocovote.us/wp-content/uploads/2016_CandidateGuide_Combined_Updated-12-30-15.pdf</t>
    </r>
  </si>
  <si>
    <t>Richmond Plus a county requirement to pay printing costs (check if other counties do this) - but not required to have a statement; cost $1210 in 2010 in Richmond</t>
  </si>
  <si>
    <t xml:space="preserve">Race or Ethnicity of winner </t>
  </si>
  <si>
    <t>Female candidates in first round (%)</t>
  </si>
  <si>
    <t>Female candidates in first round (no.)</t>
  </si>
  <si>
    <t>Minority candidates in first round (no.)</t>
  </si>
  <si>
    <t>Female minority candidates in first round (no.)</t>
  </si>
  <si>
    <t>Minority candidates in first round (%)</t>
  </si>
  <si>
    <t>Female minority candidates in first round (%)</t>
  </si>
  <si>
    <t>Description</t>
  </si>
  <si>
    <t>Winner's vote share in first round (% of vote)</t>
  </si>
  <si>
    <t>Winner's vote share in final round (% of vote)</t>
  </si>
  <si>
    <t>Candidates</t>
  </si>
  <si>
    <t>Open seat</t>
  </si>
  <si>
    <t>Incumbent</t>
  </si>
  <si>
    <t>Incumbency status of winner</t>
  </si>
  <si>
    <t>Approximate wages, 2014* ($)</t>
  </si>
  <si>
    <t>District Demographics (Citizen Voting Age Population)</t>
  </si>
  <si>
    <t>Total CVAP population of electoral district</t>
  </si>
  <si>
    <t>Total CVAP population of  nomination district</t>
  </si>
  <si>
    <t>First loser's first round vote share (%)</t>
  </si>
  <si>
    <t>Demographics of pool of potential candidates (Citizen Voting Age Population) [See notes]</t>
  </si>
  <si>
    <t>Socio-economic measures, total population of city</t>
  </si>
  <si>
    <t xml:space="preserve">Which minority? </t>
  </si>
  <si>
    <t>Median HH Income</t>
  </si>
  <si>
    <t>DP3</t>
  </si>
  <si>
    <t>Median earnings</t>
  </si>
  <si>
    <t>S2001</t>
  </si>
  <si>
    <t>P085</t>
  </si>
  <si>
    <t>Poverty status</t>
  </si>
  <si>
    <t>S1071</t>
  </si>
  <si>
    <t>DP03</t>
  </si>
  <si>
    <t>Housing stress</t>
  </si>
  <si>
    <t>DP04</t>
  </si>
  <si>
    <t>DP01</t>
  </si>
  <si>
    <t>Educational attainment</t>
  </si>
  <si>
    <t>S1501</t>
  </si>
  <si>
    <t>DP2</t>
  </si>
  <si>
    <t>Sex</t>
  </si>
  <si>
    <t>S0101</t>
  </si>
  <si>
    <t>Median age</t>
  </si>
  <si>
    <t>DP1</t>
  </si>
  <si>
    <t>Women in workforce</t>
  </si>
  <si>
    <t>S2301</t>
  </si>
  <si>
    <t>QTP24</t>
  </si>
  <si>
    <t>Workforce by race</t>
  </si>
  <si>
    <t>Census, unemployment by race</t>
  </si>
  <si>
    <t>Persons per household</t>
  </si>
  <si>
    <t>S1101</t>
  </si>
  <si>
    <t>S19013</t>
  </si>
  <si>
    <t>Republican Party County Chair</t>
  </si>
  <si>
    <t>Democrat Party County Chair</t>
  </si>
  <si>
    <t>Unique case ID</t>
  </si>
  <si>
    <t>http://www.eastbaytimes.com/news/ci_25289379/among-highest-paid-state-berkeley-elected-officials-ponder</t>
  </si>
  <si>
    <t>http://www.ocregister.com/taxdollars/strong-477790-city-council.html</t>
  </si>
  <si>
    <t>http://stocktongov.com/government/default.html</t>
  </si>
  <si>
    <t>http://www.sanjoseca.gov/DocumentCenter/View/15102</t>
  </si>
  <si>
    <t>https://www.cityofberkeley.info/Clerk/City_Council/2014/03_Mar/Documents/2014-03-11_Item_21_Survey_of_Salaries.aspx</t>
  </si>
  <si>
    <t xml:space="preserve">Part-time  </t>
  </si>
  <si>
    <t>Winner's vote share in first round (% of maj threshold)</t>
  </si>
  <si>
    <t>Winner's vote share in final round (% of maj threshold)</t>
  </si>
  <si>
    <t>Scott Baugh</t>
  </si>
  <si>
    <t>Tom Fuentes</t>
  </si>
  <si>
    <t>Sue Caro</t>
  </si>
  <si>
    <t>Harmeet Dhillon</t>
  </si>
  <si>
    <t>Keen Butcher</t>
  </si>
  <si>
    <t>Non-White winner?</t>
  </si>
  <si>
    <t>A</t>
  </si>
  <si>
    <t>B</t>
  </si>
  <si>
    <t>C</t>
  </si>
  <si>
    <t>D</t>
  </si>
  <si>
    <t>E</t>
  </si>
  <si>
    <t>G</t>
  </si>
  <si>
    <t>H</t>
  </si>
  <si>
    <t>I</t>
  </si>
  <si>
    <t>J</t>
  </si>
  <si>
    <t>K</t>
  </si>
  <si>
    <t>L</t>
  </si>
  <si>
    <t>O</t>
  </si>
  <si>
    <t>P</t>
  </si>
  <si>
    <t>Q</t>
  </si>
  <si>
    <t>S</t>
  </si>
  <si>
    <t>R</t>
  </si>
  <si>
    <t>T</t>
  </si>
  <si>
    <t>U</t>
  </si>
  <si>
    <t>V</t>
  </si>
  <si>
    <t>W</t>
  </si>
  <si>
    <t>X</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</si>
  <si>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</si>
  <si>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</si>
  <si>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</si>
  <si>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</si>
  <si>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</si>
  <si>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</si>
  <si>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</si>
  <si>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</si>
  <si>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</si>
  <si>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</si>
  <si>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</si>
  <si>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</si>
  <si>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</si>
  <si>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</si>
  <si>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</si>
  <si>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</si>
  <si>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</si>
  <si>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</si>
  <si>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</si>
  <si>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</si>
  <si>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</si>
  <si>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</si>
  <si>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</si>
  <si>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</si>
  <si>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</si>
  <si>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</si>
  <si>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</si>
  <si>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</si>
  <si>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</si>
  <si>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</si>
  <si>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Column</t>
  </si>
  <si>
    <t>Challenger</t>
  </si>
  <si>
    <t xml:space="preserve">The city in which the contest occurred. </t>
  </si>
  <si>
    <t xml:space="preserve">Year of the contest. </t>
  </si>
  <si>
    <t xml:space="preserve">Elective office/s contested in the contest. </t>
  </si>
  <si>
    <t xml:space="preserve">The district number in which the contest took place, where relevant. </t>
  </si>
  <si>
    <t>The number of offices elected in the contest.</t>
  </si>
  <si>
    <t>The number of candidates contesting the office/s in the contest.</t>
  </si>
  <si>
    <t xml:space="preserve">The name of each winner of each seat in each contest. </t>
  </si>
  <si>
    <t xml:space="preserve">The sex of each winner of each seat in each contest. </t>
  </si>
  <si>
    <t>Percentage of female candidates contesting the first round of the contest. "First round" refers to the first round tally in an RCV contest, a primary election, or a general election where it is not preceded by a primary election.</t>
  </si>
  <si>
    <t>Number of female candidates contesting the first round of the contest. "First round" refers to the first round tally in an RCV contest, a primary election, or a general election where it is not preceded by a primary election.</t>
  </si>
  <si>
    <t>Number of minority candidates contesting the first round of the contest. "First round" refers to the first round tally in an RCV contest, a primary election, or a general election where it is not preceded by a primary election.</t>
  </si>
  <si>
    <t>A dummy variable indicating the winner of the seat in the contest was a member of a minority race/ethnicity (ie. was not White).</t>
  </si>
  <si>
    <t>Percentage of minority candidates contesting the first round of the contest. "First round" refers to the first round tally in an RCV contest, a primary election, or a general election where it is not preceded by a primary election.</t>
  </si>
  <si>
    <t>Number of female minority candidates contesting the first round of the contest. "First round" refers to the first round tally in an RCV contest, a primary election, or a general election where it is not preceded by a primary election.</t>
  </si>
  <si>
    <t>Percentage of female minority candidates contesting the first round of the contest. "First round" refers to the first round tally in an RCV contest, a primary election, or a general election where it is not preceded by a primary election.</t>
  </si>
  <si>
    <t>A dummy variable indicating the winner of the seat in the contest was a woman and a member of a minority race/ethnicity.</t>
  </si>
  <si>
    <t xml:space="preserve">Indicates whether the seat was contested by an incumbent. An open seat is one not contested by an incumbent, including instances where one of the candidates served in the office immediately prior to Election Day, but was appointed and had served under 6 months.  For multi-winner districts, winning incumbents were first matched to the same same seat in the contests, then the remaining seats were classified as open or not according to whether an incumbent contest the race (and lost) or not. </t>
  </si>
  <si>
    <t>Indicates whether the seat was contested by an incumbent who was a member of a racial/ethnic minority group.</t>
  </si>
  <si>
    <t xml:space="preserve">Indicates whether the seat was contested by an incumbent who was female. </t>
  </si>
  <si>
    <t xml:space="preserve">Indicates when a winner was declared. In RCV contests, the round of counting is indicated. For all other contests, whether the winner was declared at a decisive primary, the general election, at a single-round special election (that was not held at the general election)  or at a run-off election is indicated. </t>
  </si>
  <si>
    <t xml:space="preserve">The month in which the decisive election was held. </t>
  </si>
  <si>
    <t xml:space="preserve">The year in which the decisive election was held. </t>
  </si>
  <si>
    <t xml:space="preserve">Indicates whether the election was a special election. </t>
  </si>
  <si>
    <t xml:space="preserve">Provides the number of votes cast in the first round  of the contest. For contests for multi-winner districts, total number of votes cast for all seats is provided. Undervotes are exluded from the count, while write-ins and, where available, overvotes are included. </t>
  </si>
  <si>
    <t xml:space="preserve">Provides the number of votes cast in the decisive round of the contest. Where the first round is decisive, the values in columns AF and AG will be the same. For contests for multi-winner districts, total number of votes cast for all seats is provided. Undervotes are exluded from the count, while write-ins and, where available, overvotes are included. </t>
  </si>
  <si>
    <t xml:space="preserve">Vote share of the eventual winner of the seat in the first round of the contest. "First round" refers to the first round tally in an RCV contest, a primary election, or a general election where it is not preceded by a primary election. Note that the eventual winner may have received fewer votes that a loser in the first round. </t>
  </si>
  <si>
    <t xml:space="preserve">Vote share of the eventual winner of the seat in the first round of the contest expressed as percentage of the majority threshold. "First round" refers to the first round tally in an RCV contest, a primary election, or a general election where it is not preceded by a primary election. The threshold in a single-winner contest is 50%, and 100/(n+1) % in a multi-winner contest (where "n" is the number of winners). </t>
  </si>
  <si>
    <t xml:space="preserve">Vote share of the eventual winner of the seat in the final round of the contest. "Final round" refers to the last round tally in an RCV contest, a decisive primary election, a decisive general election, or a run-off. Note that the eventual winner may have received fewer votes that a loser in the first round. </t>
  </si>
  <si>
    <t xml:space="preserve">Vote share of the eventual winner of the seat in the final round of the contest expressed as percentage of the majority threshold. "Final round" refers to the last round tally in an RCV contest, a decisive primary election, a decisive general election, or a run-off.  The threshold in a single-winner contest is 50%, and 100/(n+1) % in a multi-winner contest (where "n" is the number of winners). </t>
  </si>
  <si>
    <t xml:space="preserve">Vote share of the non-winning candidate with the most votes in the final round of the contest (the "first loser") in the first round of the contest. "First round" refers to the first round tally in an RCV contest, a primary election, or a general election where it is not preceded by a primary election. Note that the first loser may have received morer votes than a the eventual winner in the first round. </t>
  </si>
  <si>
    <t xml:space="preserve">Indicates whether the candidate with the most votes in the first round ultimately lost the contest. </t>
  </si>
  <si>
    <t xml:space="preserve">The presidential election used to calcualate partisanship in columns AQ - AT. </t>
  </si>
  <si>
    <t xml:space="preserve">A description of the electoral system used in the contest. ADD DEFINITIONS. </t>
  </si>
  <si>
    <t xml:space="preserve">Number of votes cast in the decisive election for the contest divided by the citizen voting age population in the district. </t>
  </si>
  <si>
    <t xml:space="preserve">The maximum number of elections that may be held in order for a winner to be declared. RCV contests are counted as one single round, even though there may be multiple rounds of counting. </t>
  </si>
  <si>
    <t xml:space="preserve">The fee for filing as a candidate. </t>
  </si>
  <si>
    <t>The number of councilors that serve on the city council, including the mayor (if they sit on the council).</t>
  </si>
  <si>
    <t xml:space="preserve">Indicates whether the city council is elected at-large or in districts. </t>
  </si>
  <si>
    <t xml:space="preserve">Indicates if, and when, RCV was adopted in this contest. </t>
  </si>
  <si>
    <t>The Census Bureau's estimate of the citizen voting age population within the district. Includes all American citizens aged 18 and over.</t>
  </si>
  <si>
    <t>The Census Bureau's estimate of the proportion of the citizen voting age population within the district who are White (and non-Hispanic).</t>
  </si>
  <si>
    <t xml:space="preserve">The Census Bureau's estimate of the proportion of the citizen voting age population within the district who are African American. </t>
  </si>
  <si>
    <t xml:space="preserve">The Census Bureau's estimate of the proportion of the citizen voting age population within the district who are Hispanic. </t>
  </si>
  <si>
    <t xml:space="preserve">The Census Bureau's estimate of the proportion of the citizen voting age population within the district who are Asian. </t>
  </si>
  <si>
    <t>The Census Bureau's estimate of the proportion of the citizen voting age population within the district who are of other racial and ethnic identities and descents, including those who identify as two or more races.</t>
  </si>
  <si>
    <t>BD</t>
  </si>
  <si>
    <t>BE</t>
  </si>
  <si>
    <t>BH</t>
  </si>
  <si>
    <t>BF</t>
  </si>
  <si>
    <t>BG</t>
  </si>
  <si>
    <t>BI</t>
  </si>
  <si>
    <t>BR</t>
  </si>
  <si>
    <t>BT</t>
  </si>
  <si>
    <t>BJ</t>
  </si>
  <si>
    <t>BK</t>
  </si>
  <si>
    <t>BL</t>
  </si>
  <si>
    <t>BN</t>
  </si>
  <si>
    <t>BM</t>
  </si>
  <si>
    <t>BO</t>
  </si>
  <si>
    <t>BU</t>
  </si>
  <si>
    <t>BP</t>
  </si>
  <si>
    <t>BQ</t>
  </si>
  <si>
    <t>BS</t>
  </si>
  <si>
    <t>BV</t>
  </si>
  <si>
    <t>BW</t>
  </si>
  <si>
    <t>BX</t>
  </si>
  <si>
    <t>BY</t>
  </si>
  <si>
    <t>BZ</t>
  </si>
  <si>
    <t>CB</t>
  </si>
  <si>
    <t>CC</t>
  </si>
  <si>
    <t>The sum of columns  BT to BW.</t>
  </si>
  <si>
    <t>Indicates whether the constest was fought in a majority-minority district. A majority-minority district is one in which over 50% of the citizen voting age population is non-White.</t>
  </si>
  <si>
    <t>Indicates which racial or ethnic groups is in the majority in majority-minority districts.  Majority-minority districts  in which no single group makes up 50% of the citizen voting age population  are denoted with "No single majority group".</t>
  </si>
  <si>
    <t>The Census Bureau's estimate of the citizen voting age population within the candidate nomination district. Only applies where contest is elected at-large using numbered posts with a residency requirement (eg. San Leandro and Santa Ana).</t>
  </si>
  <si>
    <t>The Census Bureau's estimate of the proportion of the citizen voting age population within the candidate nomination district who are White (and non-Hispanic).</t>
  </si>
  <si>
    <t xml:space="preserve">The Census Bureau's estimate of the proportion of the citizen voting age population within the candidate nomination district who are African American. </t>
  </si>
  <si>
    <t xml:space="preserve">The Census Bureau's estimate of the proportion of the citizen voting age population within the candidate nomination district who are Hispanic. </t>
  </si>
  <si>
    <t>CD</t>
  </si>
  <si>
    <t>CE</t>
  </si>
  <si>
    <t>CF</t>
  </si>
  <si>
    <t xml:space="preserve">The total percentage of non-White population in the candidate nomination district. </t>
  </si>
  <si>
    <t>The Census Bureau's estimate of the percentage of women in the city</t>
  </si>
  <si>
    <t xml:space="preserve">The Census Bureau's estimate of the Median household income in the city (adjusted to 2014 dollars) </t>
  </si>
  <si>
    <t>The Census Bureau's estimate of the median age of residents in the city</t>
  </si>
  <si>
    <t>The Census Bureau's estimate of the percentage of women aged 16 and over who are in the labor force (includes those who are unemployed and looking for work, the underemployed and the employed).</t>
  </si>
  <si>
    <t>The Census Bureau's estimate of the percent of residents living in poverty</t>
  </si>
  <si>
    <t>A measure of female earnings. The median income of women in the city is divided by the median income of men in the city and presented as a percentage. Includes persons over 16 years of age .</t>
  </si>
  <si>
    <t xml:space="preserve">The Census Bureau's estimates of the percentage of dwellings occupied by renters that contribute more the 30% of their household income to rent. </t>
  </si>
  <si>
    <t>Variable name</t>
  </si>
  <si>
    <t>CG</t>
  </si>
  <si>
    <t>CH</t>
  </si>
  <si>
    <t>CI</t>
  </si>
  <si>
    <t>CJ</t>
  </si>
  <si>
    <t>CK</t>
  </si>
  <si>
    <t>CL</t>
  </si>
  <si>
    <t>CM</t>
  </si>
  <si>
    <t>CN</t>
  </si>
  <si>
    <t>CO</t>
  </si>
  <si>
    <t xml:space="preserve">Census data, years used: </t>
  </si>
  <si>
    <t>Demographic data</t>
  </si>
  <si>
    <t>2000 Census</t>
  </si>
  <si>
    <t>2004 -1998</t>
  </si>
  <si>
    <t>2005-2009</t>
  </si>
  <si>
    <t>2006-2010</t>
  </si>
  <si>
    <t>2007-2011</t>
  </si>
  <si>
    <t>2008-2014</t>
  </si>
  <si>
    <t>2009-2013</t>
  </si>
  <si>
    <t>2010-2014</t>
  </si>
  <si>
    <t>2012-2014</t>
  </si>
  <si>
    <t>2005-2007</t>
  </si>
  <si>
    <t>CVAP population data</t>
  </si>
  <si>
    <t>2009-2010</t>
  </si>
  <si>
    <t>Jim Hartman: 2000-2005 (Lawyer, Berkeley)</t>
  </si>
  <si>
    <t>http://www.sfgate.com/bayarea/article/Fight-over-Alameda-GOP-seats-heading-to-court-3264314.php</t>
  </si>
  <si>
    <t>Dick Spees: 2005-2008 (Former Oakland Councilmember)</t>
  </si>
  <si>
    <t>Source for both: https://www.highbeam.com/doc/1P2-7006742.html</t>
  </si>
  <si>
    <t>Paul Cummings: 2008-2009 (Ret. Navy, Oakland?)</t>
  </si>
  <si>
    <t>http://www.bayareagop.com/Newsletter_HTML/2008-02_newsletter.html</t>
  </si>
  <si>
    <t>Jerry Salcido: 2009 (Lawyer, Fremont)</t>
  </si>
  <si>
    <t>http://www.ibabuzz.com/politics/2009/11/18/strife-leadership-change-at-alameda-county-gop/</t>
  </si>
  <si>
    <t>John Wyrwas: 2009-2011 (Electrical Engineer, Berkeley)</t>
  </si>
  <si>
    <t>Roseann Slonsky-Breault: 2011-2012 (Marketing Exec, Oakland)</t>
  </si>
  <si>
    <t>http://archive.constantcontact.com/fs042/1101225812122/archive/1104355905625.html</t>
  </si>
  <si>
    <t>Partty chairs</t>
  </si>
  <si>
    <t>Jim Hartman</t>
  </si>
  <si>
    <t>Dick Spees</t>
  </si>
  <si>
    <t>John Wyrwas</t>
  </si>
  <si>
    <t>Republican Party County Chair (in Nov)</t>
  </si>
  <si>
    <t>Democrat Party County Chair (in Nov)</t>
  </si>
  <si>
    <t>Greg Poulos</t>
  </si>
  <si>
    <t>Tom Del Beccaro</t>
  </si>
  <si>
    <t>Median household income of city (census/ACS) adjusted to 2014$</t>
  </si>
  <si>
    <t>The Census Bureau's estimate of the percent of the occupied housing units within the city that are occupied by their owner (includes those purchasing the property).</t>
  </si>
  <si>
    <t>Median female income as percent of male income (16 years and over)</t>
  </si>
  <si>
    <t>A unique identifer for each seat elected in each contest. A single contest may occur over two elections (eg. a primary and a general election).</t>
  </si>
  <si>
    <t xml:space="preserve">Wages for the office in 2014 as reported to the state Comptroller (and published on the Government Compensation in California website). Year-by-year data are provided for the Oakland Mayor and San Leandro Mayor, because major changes in their renumeration were made during the time studied. </t>
  </si>
  <si>
    <t>Indicates whether a contest was competitive. In a single winner district, competitive means there are two or more candidates and the second placed candidate receives more than half as many votes as the winner in the first round; in a multi-winner district, competitive means n+n/2 candidates and the first losing candidate winning at least  two-thirds as many votes as the last winning candidate).  Formalized as  competitive if J≠I, and (AH/AL)&lt;2.</t>
  </si>
  <si>
    <r>
      <t>Indicates whether a contest was extremely competitive. A seat is extremely competitive if (1) there are more candidates than seats to be filled AND (2) the margin of the first round leader over the second placed candidate in the first round was less than 5/n%, where n is the number of seats to be filled in the contest.  Formalized as extremely competitive if J</t>
    </r>
    <r>
      <rPr>
        <sz val="10"/>
        <color rgb="FF000000"/>
        <rFont val="Calibri"/>
        <family val="2"/>
      </rPr>
      <t>≠</t>
    </r>
    <r>
      <rPr>
        <sz val="10"/>
        <color rgb="FF000000"/>
        <rFont val="Georgia"/>
        <family val="3"/>
        <scheme val="minor"/>
      </rPr>
      <t>I, and ABS(AH-AL))&lt;(5/I).</t>
    </r>
  </si>
  <si>
    <t>Indicates whether a contest was very competitive. A seat is very competitive if (1) there are more candidates than seats to be filled AND (2) the candidate with the second most votes in the first round received more than half the number of votes of the first round leader. Formalized as very competitive if J≠I, and (AH/AL)&lt;1.5.</t>
  </si>
  <si>
    <t>Total CVAP population of  nomination sub-district</t>
  </si>
  <si>
    <t>District magnitude</t>
  </si>
  <si>
    <t>Name of winner</t>
  </si>
  <si>
    <t xml:space="preserve">Race or ethnicity of winner </t>
  </si>
  <si>
    <t>Presidential, mid-term, or odd year election</t>
  </si>
  <si>
    <t>Open seat?</t>
  </si>
  <si>
    <t>Minority incumbent?</t>
  </si>
  <si>
    <t>Female incumbent?</t>
  </si>
  <si>
    <t>Minority female winner?</t>
  </si>
  <si>
    <t>Female winner?</t>
  </si>
  <si>
    <t xml:space="preserve">Indicates whether the winner of the seat in the contest was female. </t>
  </si>
  <si>
    <t>Indicates whether the winner of the seat in the contest was an incumbent, a challenger (who defeated an incumbent), or the seat was open (and not contested by an incumbent). An incumbent is defined as someone who has served in the office they are constesting for at least 6 months immediately before the election day (even if they were initially appointed).</t>
  </si>
  <si>
    <t>Indicates whether the office is a part-time or full-time position. When unspecified in the city's charter, the office is counted as part-time.</t>
  </si>
  <si>
    <t xml:space="preserve">Indicates whether contests for city council conducted at-large using numbered posts have a requirement that candidates for each numbered post reside in a particular district within the city. </t>
  </si>
  <si>
    <t xml:space="preserve">Indicates whether the office contested is subject to term limits. </t>
  </si>
  <si>
    <t>Indicates whether the threshold for election in the contest was majority or plurality. DEFINITIONS</t>
  </si>
  <si>
    <t>Median age in the city</t>
  </si>
  <si>
    <t>Indicates the racial/ethnic composition of the minority candidates who participated in the first round of the contest, including the number of candidates of each relevant race/ethnicity. "First round" refers to the first round tally in an RCV contest, a primary election, or a general election where it is not preceded by a primary election.</t>
  </si>
  <si>
    <t>1 Native American</t>
  </si>
  <si>
    <t>1 Pacific Islander</t>
  </si>
  <si>
    <t>4 Asian</t>
  </si>
  <si>
    <t>3 Asian</t>
  </si>
  <si>
    <t>1 Asian, 1 Middle Eastern</t>
  </si>
  <si>
    <t xml:space="preserve">Number of years for which the office/s is elected to serve. In cases where the electoral system or structure of an elective body was changed (eg. when Richmond transitioned from odd year elections to even year elections in 2002), the length of the term intended at the time of election is recorded.  </t>
  </si>
  <si>
    <t>A brief description of the electoral system used in the contest. DEFINITIONS</t>
  </si>
  <si>
    <t>Majority</t>
  </si>
  <si>
    <t>1 Multiracial</t>
  </si>
  <si>
    <t>2 Asian, 1 Multiracial</t>
  </si>
  <si>
    <t xml:space="preserve">The race or ethnicity of the winner of the seat in the contest. May be White (non-Hispanic), Black, Asian, Hispanic, or Multiracial. "N/A" signifies that neither did the candidate self-identify their race/ethnicity in their statements and/or website nor was their ethnicity/race referenced in a newspaper article. Adhering to the Census race and ethnicity protocols, candidates of Spanish or Portugese ancestry were classified as "White", as were those with Middle-Eastern ancestry. </t>
  </si>
  <si>
    <t>3 Asian, 1 Hispanic</t>
  </si>
  <si>
    <t>2 Asian, 2 Hispanic</t>
  </si>
  <si>
    <t>1 Hispanic</t>
  </si>
  <si>
    <t>3 Hispanic, 2 Asian</t>
  </si>
  <si>
    <t>3 Hispanic</t>
  </si>
  <si>
    <t>4 Hispanic</t>
  </si>
  <si>
    <t>1 Asian, 1 Hispanic, 1 Multiracial</t>
  </si>
  <si>
    <t>2 Hispanic</t>
  </si>
  <si>
    <t>1 Hispanic, 1 Pacific Islander</t>
  </si>
  <si>
    <t>2 Asian, 1 Hispanic</t>
  </si>
  <si>
    <t>1 Asian, 1 Hispanic, 1 Pacific Islander</t>
  </si>
  <si>
    <t>5 Asian, 3 Hispanic</t>
  </si>
  <si>
    <t>1 Asian, 1 Hispanic</t>
  </si>
  <si>
    <t>2 Hispanic, 1 Asian</t>
  </si>
  <si>
    <t>Presidential year used to calculate partisanship</t>
  </si>
  <si>
    <t>Turnout in district CVAP (%)</t>
  </si>
  <si>
    <t>Two-party presidential vote for Democratic candidate in district</t>
  </si>
  <si>
    <t>Two-party presidential vote for Democratic candidate in city</t>
  </si>
  <si>
    <t>Brief electoral system</t>
  </si>
  <si>
    <t>RCV adopted/ year of first use</t>
  </si>
  <si>
    <t>Majority-minority district?</t>
  </si>
  <si>
    <t>City residents living in poverty (%)</t>
  </si>
  <si>
    <t>Women in the labor force (%)</t>
  </si>
  <si>
    <t>Occupied housing units owner-occupied (%)</t>
  </si>
  <si>
    <t>Population 25+ with a HS degree or equivalent (%)</t>
  </si>
  <si>
    <t>Women in city (%)</t>
  </si>
  <si>
    <t>Votes cast for that office in the first round (No.)</t>
  </si>
  <si>
    <t>Votes cast in the decisive election (No.)</t>
  </si>
  <si>
    <t>Public financing for this race?</t>
  </si>
  <si>
    <t>Term limits?</t>
  </si>
  <si>
    <t>Candidates receiving public financing (%)</t>
  </si>
  <si>
    <t>CVAP African American in electoral district (%)</t>
  </si>
  <si>
    <t>CVAP Latino in electoral district (%)</t>
  </si>
  <si>
    <t>CVAP Other in electoral district (%)</t>
  </si>
  <si>
    <t>CVAP Asian in electoral district (%)</t>
  </si>
  <si>
    <t>Non-White CVAP (%)</t>
  </si>
  <si>
    <t>Hispanic CVAP (%)</t>
  </si>
  <si>
    <t>African American CVAP (%)</t>
  </si>
  <si>
    <t>White CVAP (%)</t>
  </si>
  <si>
    <t>CVAP White in electoral district (%)</t>
  </si>
  <si>
    <t>CVAP Hispanic in electoral district (%)</t>
  </si>
  <si>
    <t>Indicates how many elections have taken place for this office since the adoption of RCV.</t>
  </si>
  <si>
    <t>Indicates whether the city council uses the council-manager form of government or the mayor-council model (with a strong mayor).</t>
  </si>
  <si>
    <t>The partisanship of the city in question.  Calculated by taking the Democratic presidential candidate's two-party vote share (column AQ) and subtracting half his or her national margin of victory. In 2012, for instance, Obama’s national margin of victory was 3.85%. Thus, if Obama received 55% of the two-party vote in a district, that city's partisanship would be about 53% (55%-(.5*3.85%)=53.075%)).</t>
  </si>
  <si>
    <t>The partisanship of the district in question.  Calculated by taking the Democratic presidential candidate's two-party vote share (column AR) and subtracting half his or her national margin of victory. In 2012, for instance, Obama’s national margin of victory was 3.85%. Thus, if Obama received 55% of the two-party vote in a district, that city's partisanship would be about 53% (55%-(.5*3.85%)=53.075%)).</t>
  </si>
  <si>
    <t>Indicates whether the office may be decided at the primary election (if one candidate reaches a threshold, usually a majority).</t>
  </si>
  <si>
    <t>The number of signatures required to file as a candidate.</t>
  </si>
  <si>
    <t>The number of signatures required to avoid paying the filing fee when filing as a candidate.</t>
  </si>
  <si>
    <t>Indicates whether public financing is available to candidates in this contest.</t>
  </si>
  <si>
    <t>Indicates whether all city council seats are filled in the same election cycle (concurrent election) or are staggered over election cycles (staggered).</t>
  </si>
  <si>
    <t>Percentage of candidate receiving public financing in this contest.</t>
  </si>
  <si>
    <t>Names the Republican Party County Chair at the time.</t>
  </si>
  <si>
    <t>Names the Democratic Party County Chair at the time.</t>
  </si>
  <si>
    <t xml:space="preserve">Non-White CVAP in electoral district (%) </t>
  </si>
  <si>
    <t>Non-White CVAP in electoral district (%)</t>
  </si>
  <si>
    <t>The Census Bureau's estimate of the percentage of the population over 25 years old who have completed high school (or its equivalent).</t>
  </si>
  <si>
    <t>Mean household size</t>
  </si>
  <si>
    <t xml:space="preserve">The Census Bureaus estimate of the mean (average) number of persons within each household. </t>
  </si>
  <si>
    <t>Median household income of city (census/ACS) (adjusted to 2014$)</t>
  </si>
  <si>
    <t>RCV adopted/year of first use</t>
  </si>
  <si>
    <t>Votes cast for that office in the first round (No.</t>
  </si>
  <si>
    <t>Special election?</t>
  </si>
  <si>
    <t>Competitive?</t>
  </si>
  <si>
    <t>Very competitive?</t>
  </si>
  <si>
    <t>Extremely competitive?</t>
  </si>
  <si>
    <t>First round winner ultimately lose?</t>
  </si>
  <si>
    <t>Residency requirement for at-large numbered posts?</t>
  </si>
  <si>
    <t>Council-manager</t>
  </si>
  <si>
    <t>Mayor-council (strong mayor)</t>
  </si>
  <si>
    <t>Districts</t>
  </si>
  <si>
    <t>Hispanic</t>
  </si>
  <si>
    <t>1 African American</t>
  </si>
  <si>
    <t>2 Asian, 1 African American, 1 Hispanic</t>
  </si>
  <si>
    <t>4 Hispanic, 1 African American</t>
  </si>
  <si>
    <t>3 African American</t>
  </si>
  <si>
    <t>2 African American, 1 Hispanic</t>
  </si>
  <si>
    <t>3 African American, 1 Asian</t>
  </si>
  <si>
    <t>4 African American</t>
  </si>
  <si>
    <t>2 Hispanic, 1 African American</t>
  </si>
  <si>
    <t>2 African American, 1 Asian</t>
  </si>
  <si>
    <t>2 African American</t>
  </si>
  <si>
    <t>3 Asian, 2 African American</t>
  </si>
  <si>
    <t>1 African American, 1 Hispanic</t>
  </si>
  <si>
    <t>6 African American, 2 Asian</t>
  </si>
  <si>
    <t>3 African American, 1 Multiracial</t>
  </si>
  <si>
    <t>5 African American, 1 Hispanic</t>
  </si>
  <si>
    <t>3 African American, 1 Hispanic</t>
  </si>
  <si>
    <t>7 African American, 1 Hispanic</t>
  </si>
  <si>
    <t>3 African American, 2 Hispanic</t>
  </si>
  <si>
    <t>3 African American, 3 Hispanic, 1 Asian, 1 Multiracial</t>
  </si>
  <si>
    <t>5 African American, 1 Hispanic, 1 Native American</t>
  </si>
  <si>
    <t>3 African American, 1 Hispanic, 1 Multiracial</t>
  </si>
  <si>
    <t>5 Hispanic, 3 African American, 2 Asian</t>
  </si>
  <si>
    <t>3 African American, 2 Hispanic, 1 Asian</t>
  </si>
  <si>
    <t>5 African American, 2 Asian, 1 Hispanic</t>
  </si>
  <si>
    <t>2 Hispanic, 1 Asian, 1 African American</t>
  </si>
  <si>
    <t>1 African American, 1 Multiracial</t>
  </si>
  <si>
    <t>1 African American, 1 Pacific Islander</t>
  </si>
  <si>
    <t>4 African American, 1 Multiracial</t>
  </si>
  <si>
    <t>3 Asian, 1 African American, 1 Hispanic</t>
  </si>
  <si>
    <t>6 African American, 1 Hispanic</t>
  </si>
  <si>
    <t>4 Asian, 1 African American</t>
  </si>
  <si>
    <t>13 African American, 1 Asian</t>
  </si>
  <si>
    <t>2 African American, 2 Hispanic</t>
  </si>
  <si>
    <t>1 African American, 1 Asian</t>
  </si>
  <si>
    <t>1 African American, 1 Asian, 1 Hispanic</t>
  </si>
  <si>
    <t>2 African American, 2 Asian, 1 Hispanic</t>
  </si>
  <si>
    <t>2 African American, 2 Asian, 2 Hispanic</t>
  </si>
  <si>
    <t>1 African American, 1 Asian, 1 Middle Eastern</t>
  </si>
  <si>
    <t>4 Asian, 1 Middle Eastern</t>
  </si>
  <si>
    <t>City partisanship (%)</t>
  </si>
  <si>
    <t>District partisanship (%)</t>
  </si>
  <si>
    <t xml:space="preserve">The number of votes cast for the Democratic presidential candidate in the electoral district in the year indicated in column AV divided by the sum of the votes cast for the Democratic and Republican candidates. </t>
  </si>
  <si>
    <t xml:space="preserve">The number of votes cast for the Democratic presidential candidate in the whole city in the year indicated in column AV divided by the sum of the votes cast for the Democratic and Republican candidates. </t>
  </si>
  <si>
    <t>Two-party presidential vote for Denmocratic candidate in district (%)</t>
  </si>
  <si>
    <t>Two-party presidential vote for Denmocratic candidate in city (%)</t>
  </si>
  <si>
    <t>Total candidates (no.)</t>
  </si>
  <si>
    <t>Total candidates (No.)</t>
  </si>
  <si>
    <t>Renter occupied units that are under renter stress (Rent&gt;30% income) (%)</t>
  </si>
  <si>
    <t>Renter-occupied units that are under renter stress (Rent&gt;30% income) (%)</t>
  </si>
  <si>
    <t>Number and race/ ethnicity of minority candidates in first round</t>
  </si>
  <si>
    <t>Number and race/ethnicity of minority candidates in first round</t>
  </si>
  <si>
    <t>Elections before adoption for that office (No.)</t>
  </si>
  <si>
    <t>Elections after adoption for that office (No.)</t>
  </si>
  <si>
    <t>Indicates how many elections prior to the adoption of RCV the contest is. For example, Oakland adopted RCV prior to the 2010 election, so the 2008 municipal elections are 1 election before, the 2006 elections are 2 elections before, and so on.</t>
  </si>
  <si>
    <t>Multiracial</t>
  </si>
  <si>
    <t>Natalie Berg</t>
  </si>
  <si>
    <t>Jane Morrisson</t>
  </si>
  <si>
    <t>Leslie Katz</t>
  </si>
  <si>
    <t>Marcellino Martinez</t>
  </si>
  <si>
    <t>Bill Casey</t>
  </si>
  <si>
    <t>Richard Blackston</t>
  </si>
  <si>
    <t>Nicholas Hatten</t>
  </si>
  <si>
    <t>Arthur Bruzzone</t>
  </si>
  <si>
    <t>Don Casper</t>
  </si>
  <si>
    <t>Mike DeNunzio</t>
  </si>
  <si>
    <t>Howard Epstein</t>
  </si>
  <si>
    <t>Rick Veldestra</t>
  </si>
  <si>
    <t>Gary Podesto</t>
  </si>
  <si>
    <t>Charles T Munger Jr</t>
  </si>
  <si>
    <t>Steve Mullen</t>
  </si>
  <si>
    <t>Robert Burnett</t>
  </si>
  <si>
    <t>Both parties with female county party chairs</t>
  </si>
  <si>
    <t>Democratic Party chair female</t>
  </si>
  <si>
    <t>Carmen Chu appointed by the mayor in February 2013.</t>
  </si>
  <si>
    <t>Tang appointed by the mayor in February 2013.</t>
  </si>
  <si>
    <t>Christina Olague was appointed by the mayor in January 2012; Defeated at election.</t>
  </si>
  <si>
    <t>George Gascon was appointed by the mayor on January 9, 2011.</t>
  </si>
  <si>
    <t>Carmen Chu was an interim appointee September 2007 to January 2008; mayor appointed her to fill term on January 11, 2008.</t>
  </si>
  <si>
    <t>Phil Ting was appointed by the mayor on July 15, 2005.</t>
  </si>
  <si>
    <t>Michela Alioto-Pier was appointed by the mayor in January 2004.</t>
  </si>
  <si>
    <t>Sean R Elsbernd was appointed by the mayor in August 2004.</t>
  </si>
  <si>
    <t>Amos Brown  was appointed by the mayor in 1996.</t>
  </si>
  <si>
    <t>Mark Leno  was appointed by the mayor in April 1998.</t>
  </si>
  <si>
    <t>Gavin Newsom  was appointed by the mayor in February 1997.</t>
  </si>
  <si>
    <t>Michael Yaki was sworn in after appointment on February 6, 1996.</t>
  </si>
  <si>
    <t>Leslie R. Katz  was appointed by the mayor  in 1996.</t>
  </si>
  <si>
    <t>County political party organizations</t>
  </si>
  <si>
    <t xml:space="preserve">This dataset contains </t>
  </si>
  <si>
    <t>Compiled 2015 - 2016</t>
  </si>
  <si>
    <t>David Campos was elected in December 2008, for a term that was due to commence in January 2009. The seat was vacant, so the mayor appointed Camposto take his term one month early.</t>
  </si>
  <si>
    <t>Fiona Ma  was appointed to serve November 2002 through January 2003 by the mayor after the election.</t>
  </si>
  <si>
    <t>Bevan Duffy was appointed to serve November 2002 through January 2003 by the mayor after the election.</t>
  </si>
  <si>
    <t>Plurality (45%)</t>
  </si>
  <si>
    <t>Single-winner quasi-majority runoff</t>
  </si>
  <si>
    <t>Quasi-majority runoff</t>
  </si>
  <si>
    <t xml:space="preserve">Top two primary  </t>
  </si>
  <si>
    <t>RCV elections - Exhausted Ballots (n)</t>
  </si>
  <si>
    <t>RCV elections - Exhausted Ballots (%)</t>
  </si>
  <si>
    <t xml:space="preserve">Runoff elections - Voter dropoff from general election (n) </t>
  </si>
  <si>
    <t xml:space="preserve">Runoff elections - Voter dropoff from general election (%) </t>
  </si>
  <si>
    <t xml:space="preserve"> </t>
  </si>
  <si>
    <t>1 Asian 1 Hispanic</t>
  </si>
  <si>
    <t>Vicki Hennessy</t>
  </si>
  <si>
    <t>Were there less votes for the winning runoff candidate than the 1st place general election candiate?</t>
  </si>
  <si>
    <t>Residency requirement for At-largenumbered posts?</t>
  </si>
  <si>
    <t xml:space="preserve">At-large </t>
  </si>
  <si>
    <t>Total candidate spending (2014 $)</t>
  </si>
  <si>
    <t xml:space="preserve">Highest spending candidate won? </t>
  </si>
  <si>
    <t>Odd year*</t>
  </si>
  <si>
    <t>yes</t>
  </si>
  <si>
    <t>RCV elections - Irregular Ballot Total (%)</t>
  </si>
  <si>
    <t>RCV elections - Exhausted Involuntarily (n)</t>
  </si>
  <si>
    <t>RCV elections -Exhausted Involuntarily (%)</t>
  </si>
  <si>
    <t>RCV elections - Exhausted by Overvote (n)</t>
  </si>
  <si>
    <t>RCV elections - Exhausted by Overvote (%)</t>
  </si>
  <si>
    <t xml:space="preserve"> Runoff election - First Round Leader Vote Share</t>
  </si>
  <si>
    <t>RCV elections - Exhausted Voluntarily (n)</t>
  </si>
  <si>
    <t>RCV elections - Exhausted Voluntarily (%)</t>
  </si>
  <si>
    <t>Undervotes (%)</t>
  </si>
  <si>
    <t>Undervotes (voters who participated in  election but did not vote in this race or did not use all of their votes) (n)</t>
  </si>
  <si>
    <t>Total number of votes cast in Decisive election, including undervotes</t>
  </si>
  <si>
    <t>Note to staff updating the sheet:</t>
  </si>
  <si>
    <t xml:space="preserve">Multi-winner races are difficult. </t>
  </si>
  <si>
    <t>ID1</t>
  </si>
  <si>
    <t>ID2</t>
  </si>
  <si>
    <t>ID3</t>
  </si>
  <si>
    <t>ID4</t>
  </si>
  <si>
    <t>ID5</t>
  </si>
  <si>
    <t>ID6</t>
  </si>
  <si>
    <t># of Candidates</t>
  </si>
  <si>
    <t>Candidates (list all)</t>
  </si>
  <si>
    <t>Sex/ Gender</t>
  </si>
  <si>
    <t>Race/ethnicity identified</t>
  </si>
  <si>
    <t>Winner</t>
  </si>
  <si>
    <t>Incumbent win</t>
  </si>
  <si>
    <t>Source for race/ethnicity</t>
  </si>
  <si>
    <t>vote share - first round</t>
  </si>
  <si>
    <t>vote share - final round</t>
  </si>
  <si>
    <t>Type of verification for race/ethnicity</t>
  </si>
  <si>
    <t>http://www.smartvoter.org/2000/11/07/ca/alm/vote/dewitt_a/</t>
  </si>
  <si>
    <t>Photo- see H</t>
  </si>
  <si>
    <t>Allan Shore</t>
  </si>
  <si>
    <t>https://radicalnot.wordpress.com/allan-shore-who/</t>
  </si>
  <si>
    <t>http://www.contracostatimes.com/news/ci_28902994/alameda-former-city-councilwoman-barbara-kerr-dies</t>
  </si>
  <si>
    <t>Joe Russi</t>
  </si>
  <si>
    <t>Undetermined</t>
  </si>
  <si>
    <t>could not find</t>
  </si>
  <si>
    <t>Peggy Doherty</t>
  </si>
  <si>
    <t>http://www.smartvoter.org/2000/11/07/ca/alm/vote/doherty_p/</t>
  </si>
  <si>
    <t>Ron Matthews</t>
  </si>
  <si>
    <t>http://www.smartvoter.org/2000/11/07/ca/alm/vote/matthews_r/</t>
  </si>
  <si>
    <t>Susan M. McCormack</t>
  </si>
  <si>
    <t>Betsy P. Elgar</t>
  </si>
  <si>
    <t>https://votesmart.org/candidate/biography/134892/betsy-elgar#.VaatPJNViko</t>
  </si>
  <si>
    <t>Hadi Monsef</t>
  </si>
  <si>
    <t>Middle Eastern</t>
  </si>
  <si>
    <t>http://www.contracostatimes.com/news/ci_26419764/alameda-former-city-councilmember-hadi-monsef-dies-at</t>
  </si>
  <si>
    <t>Article</t>
  </si>
  <si>
    <t>Horst Breuer</t>
  </si>
  <si>
    <t>http://www.smartvoter.org/2002/11/05/ca/alm/vote/breuer_h/</t>
  </si>
  <si>
    <t>Jean Sweeney</t>
  </si>
  <si>
    <t>Thomas C. Pavletic</t>
  </si>
  <si>
    <t>http://www.smartvoter.org/2002/11/05/ca/alm/vote/kerr_b/paper1.html</t>
  </si>
  <si>
    <t>Bill Withrow</t>
  </si>
  <si>
    <t>http://www.smartvoter.org/2002/11/05/ca/alm/vote/withrow_b/</t>
  </si>
  <si>
    <t>Denise Timney Ranish</t>
  </si>
  <si>
    <t>Pat Bail</t>
  </si>
  <si>
    <t>https://laurendo.wordpress.com/2006/09/13/city-council-candidate-profile-part-1-of-6-pat-bail/</t>
  </si>
  <si>
    <t>Ruben Tilos</t>
  </si>
  <si>
    <t>https://laurendo.wordpress.com/2015/07/09/advance-guard/ and http://www.smartvoter.org/2004/11/02/ca/alm/vote/tilos_r/philosophy.html</t>
  </si>
  <si>
    <t>Vernice L. Boone</t>
  </si>
  <si>
    <t>Ashley O. "Ash" Jones</t>
  </si>
  <si>
    <t>https://laurendo.wordpress.com/2006/09/14/city-council-candidate-profile-part-2-of-6-ashley-ash-jones/</t>
  </si>
  <si>
    <t>Eugenie P. Thomson</t>
  </si>
  <si>
    <t>http://www.eastbayexpress.com/oakland/greetings-from-alameda/Content?oid=1082129</t>
  </si>
  <si>
    <t>Alameda Health Care District Board Member</t>
  </si>
  <si>
    <t>Mike Rich</t>
  </si>
  <si>
    <t>http://www.smartvoter.org/2006/11/07/ca/alm/vote/rich_m/</t>
  </si>
  <si>
    <t>Kenneth Kahn</t>
  </si>
  <si>
    <t>Justin Harrison</t>
  </si>
  <si>
    <t>https://laurendo.wordpress.com/2008/09/17/city-council-candidate-profile-part-3-of-4-justin-harrison/</t>
  </si>
  <si>
    <t>Tracy Jensen</t>
  </si>
  <si>
    <t>ELECTED TO THE ALAMEDA SCHOOL BOARD</t>
  </si>
  <si>
    <t>Adam Gillitt</t>
  </si>
  <si>
    <t>http://patch.com/california/alameda/city-council-candidate-qa-adam-gillitt</t>
  </si>
  <si>
    <t>http://thealamedan.org/news/breaking-johnson-drops-out-council-race-ending-18-year-political-career</t>
  </si>
  <si>
    <t>http://www.smartvoter.org/2010/11/02/ca/alm/vote/sweeney_j/</t>
  </si>
  <si>
    <t>Jeff Mitchell</t>
  </si>
  <si>
    <t>http://www.smartvoter.org/2010/11/02/ca/alm/vote/mitchell_j/</t>
  </si>
  <si>
    <t>http://apacaucus.org/2015-executive-board/</t>
  </si>
  <si>
    <t>Member of Asian Pacific Democratic Caucus</t>
  </si>
  <si>
    <t>Rob Bonta</t>
  </si>
  <si>
    <t>http://www.robbonta.com/about-rob/</t>
  </si>
  <si>
    <t>Website- self-identifies</t>
  </si>
  <si>
    <t>http://patch.com/california/alameda/city-council-candidate-qa-tracy-jensen</t>
  </si>
  <si>
    <t>http://patch.com/california/alameda/mayoral-candidate-qa-doug-dehaan</t>
  </si>
  <si>
    <t>http://alamedaca.gov/city-council/councilmember-frank-matarrese</t>
  </si>
  <si>
    <t>http://thealamedan.org/news/profiler-kenny-clown</t>
  </si>
  <si>
    <t>http://alamedaca.gov/city-council/councilmember-tony-daysog</t>
  </si>
  <si>
    <t>Gerard Valbuena Dumuk</t>
  </si>
  <si>
    <t>http://thealamedan.org/news/alameda-elections-12-city-council-candidate-statements and http://www.smartvoter.org/2012/11/06/ca/alm/vote/dumuk_g/</t>
  </si>
  <si>
    <t>Photo and bio information points to asain</t>
  </si>
  <si>
    <t>Jane Sullwold</t>
  </si>
  <si>
    <t>http://thealamedan.org/news/city-council-candidate-jane-sullwold</t>
  </si>
  <si>
    <t>Jeff Cambra</t>
  </si>
  <si>
    <t>http://www.insidebayarea.com/ci_21061904</t>
  </si>
  <si>
    <t>Joana Darc Weber</t>
  </si>
  <si>
    <t>Latino</t>
  </si>
  <si>
    <t>http://thealamedan.org/news/alameda-elections-12-introducing-your-city-council-candidates</t>
  </si>
  <si>
    <t>http://www.marilyn4alameda.org/about</t>
  </si>
  <si>
    <t>Stewart G. Chen</t>
  </si>
  <si>
    <t>Website</t>
  </si>
  <si>
    <t>https://www.facebook.com/MayorMarieGilmore/info?tab=page_info</t>
  </si>
  <si>
    <t>http://www.trishformayor.com/about/</t>
  </si>
  <si>
    <t>SCHOOL BOARD MEMBER</t>
  </si>
  <si>
    <t>http://www.oddie4alameda.com/bio/</t>
  </si>
  <si>
    <t>http://votersedge.org/california/2014/november/alameda/candidates/council-member/9758-stewart-g-chen#.VaajZpNViko and http://stewartchen.org/bio.html</t>
  </si>
  <si>
    <t>Shirley McCracken</t>
  </si>
  <si>
    <t>Bob Zemel</t>
  </si>
  <si>
    <t>http://www.jewishjournal.com/articles/item/turning_gop_in_oc_20021101</t>
  </si>
  <si>
    <t>Bobby McDonald</t>
  </si>
  <si>
    <t>http://bos.ocgov.com/legacy3ts/newsletters/vol2issue27.htm</t>
  </si>
  <si>
    <t>James Mills</t>
  </si>
  <si>
    <t>http://www.smartvoter.org/2002/11/05/ca/or/vote/mills_j/</t>
  </si>
  <si>
    <t>John Koos</t>
  </si>
  <si>
    <t>http://www.smartvoter.org/2002/11/05/ca/or/vote/koos_j/bio.html</t>
  </si>
  <si>
    <t>Manny Ontiveros</t>
  </si>
  <si>
    <t>http://blogs.ocweekly.com/navelgazing/2012/07/los_amigos_amin_david_aclu.php</t>
  </si>
  <si>
    <t>Robert J. Flores</t>
  </si>
  <si>
    <t>Stefanie O'Neill</t>
  </si>
  <si>
    <t>Steve Eichler</t>
  </si>
  <si>
    <t>http://www.smartvoter.org/2002/11/05/ca/or/vote/eichler_s/</t>
  </si>
  <si>
    <t>Frank Feldhaus</t>
  </si>
  <si>
    <t>http://www.smartvoter.org/2002/11/05/ca/or/vote/feldhaus_f/</t>
  </si>
  <si>
    <t>Steve Staveley</t>
  </si>
  <si>
    <t>http://www.adlerpa.com/political/sa-pc-steve.htm</t>
  </si>
  <si>
    <t>Andrea Manes</t>
  </si>
  <si>
    <t>http://www.smartvoter.org/2004/11/02/ca/or/vote/manes_a/</t>
  </si>
  <si>
    <t>Craig Merrihue</t>
  </si>
  <si>
    <t>http://www.smartvoter.org/2004/11/02/ca/or/vote/merrihue_c/</t>
  </si>
  <si>
    <t>Faiz Zuberi</t>
  </si>
  <si>
    <t>George Charles Johnson</t>
  </si>
  <si>
    <t>http://www.smartvoter.org/2004/11/02/ca/or/vote/johnson_g/</t>
  </si>
  <si>
    <t>Jerry O'Connell</t>
  </si>
  <si>
    <t>http://ocpoliticsblog.com/2012/09/25/the-oconnell-brothers-get-tax-loot-from-both-anaheim-and-garden-grove/#more-5256</t>
  </si>
  <si>
    <t>John Karczynski</t>
  </si>
  <si>
    <t>Richard "Dick" Larochelle</t>
  </si>
  <si>
    <t>https://anaheimpd.wordpress.com/tag/homicide/</t>
  </si>
  <si>
    <t>Rubin Jamison Skipper</t>
  </si>
  <si>
    <t>http://www.smartvoter.org/2004/11/02/ca/or/vote/skipper_r/</t>
  </si>
  <si>
    <t>http://www.smartvoter.org/2004/11/02/ca/or/vote/oneill_s/bio.html</t>
  </si>
  <si>
    <t>Bill Dalati</t>
  </si>
  <si>
    <t>http://www.smartvoter.org/2002/11/05/ca/or/vote/hernandez_b/</t>
  </si>
  <si>
    <t>Konstantinos Roditis</t>
  </si>
  <si>
    <t>Michael Schoppman</t>
  </si>
  <si>
    <t>http://www.smartvoter.org/2006/11/07/ca/or/vote/schoppman_m/</t>
  </si>
  <si>
    <t>Rafael Gonzalez</t>
  </si>
  <si>
    <t>http://www.ocregister.com/articles/anaheim-191811-housing-city.html</t>
  </si>
  <si>
    <t>http://blogs.ocweekly.com/navelgazing/2015/02/latino_politics_orange_county.php</t>
  </si>
  <si>
    <t>http://curtpringle.com/</t>
  </si>
  <si>
    <t>William Fitzgerald</t>
  </si>
  <si>
    <t>http://voiceofoc.org/2010/10/anaheim-mayoral-hopefuls-try-the-personal-touch/</t>
  </si>
  <si>
    <t>Brian Neil Chuchua</t>
  </si>
  <si>
    <t>http://starlocalmedia.com/allenamerican/news/candidates-voice-views-on-city-school-district-issues/article_e9ef54c8-c644-11e3-8dac-0019bb2963f4.html?mode=image&amp;photo=0</t>
  </si>
  <si>
    <t>http://www.harrysidhu.com/about/</t>
  </si>
  <si>
    <t>Jennifer Rivera</t>
  </si>
  <si>
    <t>http://www.anaheim.net/images/articles/1773/KARCZYNSKI.pdf</t>
  </si>
  <si>
    <t>Kostas "Gus" Roditis</t>
  </si>
  <si>
    <t>http://www.smartvoter.org/2008/11/04/ca/or/vote/roditis_k/bio.html</t>
  </si>
  <si>
    <t>http://www.smartvoter.org/2004/11/02/ca/or/vote/flores_r/bio.html</t>
  </si>
  <si>
    <t>Biography and associations seem to point to Latino</t>
  </si>
  <si>
    <t>Steve Perez</t>
  </si>
  <si>
    <t>http://www.theliberaloc.com/author/steve-perez/</t>
  </si>
  <si>
    <t>Biography, photo, and surname point to Latino</t>
  </si>
  <si>
    <t>http://www.dalati4anaheim.com/meet_bill.htm</t>
  </si>
  <si>
    <t>Dennis T. Varnum</t>
  </si>
  <si>
    <t>http://www.somosprimos.com/sp2008/spjul08/spjul08.htm</t>
  </si>
  <si>
    <t>Dustin Apodaca</t>
  </si>
  <si>
    <t>http://blogs.ocweekly.com/navelgazing/2010/10/dustin_apodaca_anaheim_city_co.php</t>
  </si>
  <si>
    <t>https://ballotpedia.org/Gail_E._Eastman</t>
  </si>
  <si>
    <t>John Leos</t>
  </si>
  <si>
    <t>John Santoianni</t>
  </si>
  <si>
    <t>http://www.theliberaloc.com/2012/02/18/john-santoianni-announces-a-run-for-anaheim-city-school-board/</t>
  </si>
  <si>
    <t>http://www.electkrismurray.com/</t>
  </si>
  <si>
    <t>Linda Linder</t>
  </si>
  <si>
    <t>Robert Jesus Flores</t>
  </si>
  <si>
    <t>http://ocpoliticsblog.com/2012/06/28/aclu-sues-anaheim-but-liberal-latinos-simply-cant-win-in-the-o-c/#more-3482</t>
  </si>
  <si>
    <t>Robert Nelson</t>
  </si>
  <si>
    <t>http://www.robertnelsonforanaheim.com/Robert_Nelson_for_Anaheim_City_Council/About_Robert.html</t>
  </si>
  <si>
    <t>Rudy Gaona</t>
  </si>
  <si>
    <t>http://www.anaheimblog.net/2015/07/21/rudy-gaona-running-for-city-council-again/</t>
  </si>
  <si>
    <t>Sandy Parke</t>
  </si>
  <si>
    <t>http://www.dawhois.net/www/voteparke2010.com.html</t>
  </si>
  <si>
    <t>Thomas "Hoagy" Holguin</t>
  </si>
  <si>
    <t>https://vote4hoagy.wordpress.com/about/</t>
  </si>
  <si>
    <t>Photo and Surname- see H</t>
  </si>
  <si>
    <t>http://ocpoliticsblog.com/2015/08/20/remembering-former-anaheim-union-high-school-district-trustee-thomas-hoagy-holguin/</t>
  </si>
  <si>
    <t>http://www.anaheimconventioncenter.com/2102/Mayor-Tom-Tait</t>
  </si>
  <si>
    <t>William Denis Fitzgerald</t>
  </si>
  <si>
    <t>http://www.anaheimblog.net/2015/01/06/hate-speech-city-council-meetings/</t>
  </si>
  <si>
    <t>http://www.brianchuchua.net/meet_brian.php</t>
  </si>
  <si>
    <t>Duane Roberts</t>
  </si>
  <si>
    <t>http://www.smartvoter.org/2012/11/06/ca/or/vote/roberts_d/bio.html</t>
  </si>
  <si>
    <t>s, who ran as the Green Party of California's nominee for U.S. Senate in 2010 in an effo</t>
  </si>
  <si>
    <t>https://www.facebook.com/pages/John-Leos-for-Anaheim-City-Council-2012/108782919143358?sk=timeline&amp;ref=page_internal</t>
  </si>
  <si>
    <t>http://www.jordanbrandman.com/</t>
  </si>
  <si>
    <t>Anaheim Union High School District Board of Trustees </t>
  </si>
  <si>
    <t>http://www.smartvoter.org/2012/11/06/ca/or/vote/linder_l/</t>
  </si>
  <si>
    <t>http://www.lucillekring.com/#!about/ctvq</t>
  </si>
  <si>
    <t>Rodolfo "Rudy" Gaona</t>
  </si>
  <si>
    <t>Steven Albert Chavez Lodge</t>
  </si>
  <si>
    <t>http://blogs.ocweekly.com/navelgazing/2013/05/steve_lodge_2016.php</t>
  </si>
  <si>
    <t>Donna Michelle Acevedo</t>
  </si>
  <si>
    <t>http://www.theliberaloc.com/2014/01/31/tait-camp-mourns-loss-of-donna-acevedos-support-as-she-backs-galloway-for-anaheim-mayor/</t>
  </si>
  <si>
    <t>Doug Pettibone</t>
  </si>
  <si>
    <t>http://www.orangejuiceblog.com/2014/09/character-assassination-misfires-pettibone-withdraws-from-council-race-with-grace-and-class/</t>
  </si>
  <si>
    <t>http://votersedge.org/california/2014/november/anaheim/candidates/council-member/10849-james-d-vanderbilt</t>
  </si>
  <si>
    <t>http://ocpoliticsblog.com/2014/08/11/too-many-latino-city-council-candidates-gives-advantage-to-anaheims-incumbents/</t>
  </si>
  <si>
    <t>Council Member Vanderbilt has served Anaheim citizens in several roles through his lifetime. As a college student he worked for the Anaheim Parks and Recreation Department as a summer park supervisor. He has served on many appointed and elected positions including seven years as a member of the Anaheim Community Service Board, five years as member and chair of the Anaheim Planning Commission, and ten years as board member and president of the Anaheim City School Board.  http://www.anaheim.net/175/Council-Member-James-Vanderbilt</t>
  </si>
  <si>
    <t>Jerry O'Keefe</t>
  </si>
  <si>
    <t>http://articles.latimes.com/1996-09-16/local/me-44461_1_northern-ireland</t>
  </si>
  <si>
    <t>Jose F. Moreno (1)</t>
  </si>
  <si>
    <t>http://ballotpedia.org/Jose_F._Moreno and http://voiceofoc.org/2015/12/how-much-does-this-man-scare-anaheims-city-council-majority/</t>
  </si>
  <si>
    <t>Article and his presidency of a Latino grassroots movement</t>
  </si>
  <si>
    <t>School board</t>
  </si>
  <si>
    <t>Jose Moreno (2)</t>
  </si>
  <si>
    <t>https://votemoreno.wordpress.com/</t>
  </si>
  <si>
    <t>Jose “Joe” Moreno, who was Democrat Tom Daly’s Republican opponent in the 69th Assembly District in 2012 (interestingly, Vanderbilt, a Republican, endorsed Daly over Jose “Joe” Moreno). http://www.anaheimblog.net/2014/08/05/anaheim-city-council-2014-update-james-vanderbilt-and-the-other-jose-moreno-pull-papers/</t>
  </si>
  <si>
    <t>Denis Fitzgerald</t>
  </si>
  <si>
    <t>http://www.theliberaloc.com/2014/12/17/fitzgerald-tells-his-side-of-the-story-offers-a-preview-of-his-next-anaheim-city-council-comments/</t>
  </si>
  <si>
    <t>http://lorrigalloway.com/</t>
  </si>
  <si>
    <t>http://www.taitformayor.com/</t>
  </si>
  <si>
    <t>Jon Crowder</t>
  </si>
  <si>
    <t>http://www.berkeleydailyplanet.com/issue/2008-10-09/article/31309?headline=District-2-City-Council-Candidate-Statement-Jon-Crowde</t>
  </si>
  <si>
    <t>Betty J. Hicks</t>
  </si>
  <si>
    <t>http://www.berkeleydailyplanet.com/issue/2000-10-16/article/1676?headline=Diverse-ideas-for-District-2--Stories-by-Josh-Parr-Daily-Planet-staff-Judith-Sc##1676</t>
  </si>
  <si>
    <t>Newpaper article</t>
  </si>
  <si>
    <t>Carol Hughes-Willoughby</t>
  </si>
  <si>
    <t>http://www.berkeleydailyplanet.com/issue/2000-10-16/article/1676?headline=Diverse-ideas-for-District-2--Stories-by-Josh-Parr-Daily-Planet-staff-Judith-Sc</t>
  </si>
  <si>
    <t>Newspaper article</t>
  </si>
  <si>
    <t>Gina Marie Sasso</t>
  </si>
  <si>
    <t>http://berkeleyreporter.com/?p=1307</t>
  </si>
  <si>
    <t>http://www.sfgate.com/bayarea/article/Margaret-Breland-West-Berkeley-activist-2687374.php</t>
  </si>
  <si>
    <t>http://www.contracostatimes.com/ci_23030868/maudelle-shirek-conscience-berkeley-city-council-dies-at</t>
  </si>
  <si>
    <t>Photo</t>
  </si>
  <si>
    <t>James E. Peterson</t>
  </si>
  <si>
    <t>Marcella Crump-Williams</t>
  </si>
  <si>
    <t>http://archive.dailycal.org/article.php?id=3824</t>
  </si>
  <si>
    <t>Benjamin Rodefer</t>
  </si>
  <si>
    <t>http://www.smartvoter.org/2000/11/07/ca/alm/vote/rodefer_b/</t>
  </si>
  <si>
    <t>Carrie Olson</t>
  </si>
  <si>
    <t>http://www.sfgate.com/bayarea/article/Berkeley-Coffee-Clash-Loyal-latte-lovers-win-a-3237351.php</t>
  </si>
  <si>
    <t>Mark T. Fowler</t>
  </si>
  <si>
    <t>Tom Kelly</t>
  </si>
  <si>
    <t>Norine Smith</t>
  </si>
  <si>
    <t>Eleanor E. Pepples</t>
  </si>
  <si>
    <t>John Patrick Boushell</t>
  </si>
  <si>
    <t>Shirley Dean</t>
  </si>
  <si>
    <t>http://www.smartvoter.org/_/2006/11/07/ca/alm/race/007/</t>
  </si>
  <si>
    <t>Rhiannon</t>
  </si>
  <si>
    <t>http://www.berkeleyside.com/2013/11/15/the-return-of-rhiannon/</t>
  </si>
  <si>
    <t>Bob Migdal</t>
  </si>
  <si>
    <t>http://www.smartvoter.org/2002/11/05/ca/alm/vote/migdal_b/</t>
  </si>
  <si>
    <t>David A. Freeman</t>
  </si>
  <si>
    <t>http://www.smartvoter.org/_/2006/11/07/ca/alm/race/009/</t>
  </si>
  <si>
    <t>L A Wood</t>
  </si>
  <si>
    <t>Micki Weinberg</t>
  </si>
  <si>
    <t>http://www.jweekly.com/includes/print/18413/article/two-jewish-students-join-berkeley-city-council-race/</t>
  </si>
  <si>
    <t>Andy Katz</t>
  </si>
  <si>
    <t>http://www.eastbaystonewalldemocrats.org/blog/</t>
  </si>
  <si>
    <t>http://www.ebmud.com/about-us/board-directors/your-board-members/ward-4/</t>
  </si>
  <si>
    <t>Anne Wagley</t>
  </si>
  <si>
    <t>Carlos A. Estrada</t>
  </si>
  <si>
    <t>http://www.dailycal.org/2014/11/24/gordon-wozniak-council-member-prepares-leave-post-12-years/</t>
  </si>
  <si>
    <t>http://www.sfgate.com/politics/article/CAMPAIGN-2004-Shirek-factor-stirs-up-Berkeley-s-2689160.php</t>
  </si>
  <si>
    <t>Sharon A. Kidd</t>
  </si>
  <si>
    <t>https://fragilex.org/foundation/team/</t>
  </si>
  <si>
    <t>Jeff Benefiel</t>
  </si>
  <si>
    <t>Laura Menard</t>
  </si>
  <si>
    <t>http://www.eastbayexpress.com/oakland/laura-menard/Profile?oid=3045772</t>
  </si>
  <si>
    <t>Barbara Gilbert</t>
  </si>
  <si>
    <t>http://patch.com/california/berkeley/websites-provide-venues-for-citizen-participation</t>
  </si>
  <si>
    <t>Jesse Townley</t>
  </si>
  <si>
    <t>http://jesse4rentboard.org/</t>
  </si>
  <si>
    <t>http://www.berkeleyside.com/2014/01/13/betty-olds-path/</t>
  </si>
  <si>
    <t>http://www.berkeleydailyplanet.com/issue/2005-07-01/article/21757?headline=Norine-Smith-A-Happy-Warrior-for-Causes-Big-and-Small-By-BECKY-O-MALLEY</t>
  </si>
  <si>
    <t>Christian Pecaut</t>
  </si>
  <si>
    <t>http://www.berkeleydailyplanet.com/issue/2006-10-20/article/25363?headline=Berkeley-Mayoral-Candidate-Statements-Christian-Pecaut&amp;status=301</t>
  </si>
  <si>
    <t>Zachary Runningwolf</t>
  </si>
  <si>
    <t>Native American</t>
  </si>
  <si>
    <t>Zelda Bronstein</t>
  </si>
  <si>
    <t>http://www.sfgate.com/bayarea/article/VOTER-S-GUIDE-TO-THE-NOV-7-ELECTION-BERKELEY-2485029.php</t>
  </si>
  <si>
    <t>Merrilie Mitchell</t>
  </si>
  <si>
    <t>http://www.donaspring.com/</t>
  </si>
  <si>
    <t>Raudel Wilson</t>
  </si>
  <si>
    <t>http://www.berkeleydailyplanet.com/issue/2006-10-17/article/25315?headline=Spring-vs.-Wilson-Two-Views-of-District-4--By-Judith-Scherr</t>
  </si>
  <si>
    <t>George Beier</t>
  </si>
  <si>
    <t>Jason Overman</t>
  </si>
  <si>
    <t>https://www.linkedin.com/in/jasonoverman</t>
  </si>
  <si>
    <t>http://www.berkeley.edu/news/berkeleyan/1998/1209/dean.html</t>
  </si>
  <si>
    <t>Asa Dodsworth</t>
  </si>
  <si>
    <t>https://www.facebook.com/Dodsworth4RentBoard</t>
  </si>
  <si>
    <t>http://www.ci.berkeley.ca.us/MeetJesse.aspx</t>
  </si>
  <si>
    <t>http://journalism.berkeley.edu/projects/election2002/stories/000173.html</t>
  </si>
  <si>
    <t>N'Dji "Jay" Jockin</t>
  </si>
  <si>
    <t>Terry Doran</t>
  </si>
  <si>
    <t>http://www.berkeleyside.com/2012/01/03/terry-doran-longtime-berkeley-educator-dies/</t>
  </si>
  <si>
    <t>http://www.berkeleydailyplanet.com/issue/2008-10-02/article/31255?headline=District-4-City-Council-Candidate-Statement-Terry-Doran--</t>
  </si>
  <si>
    <t>Sophie Hahn</t>
  </si>
  <si>
    <t>Phoebe Sorgen</t>
  </si>
  <si>
    <t>http://www.berkeleydailyplanet.com/issue/2008-10-02/article/31261?headline=District-6-City-Council-Candidate-Statement-Susan-Wengraf--</t>
  </si>
  <si>
    <t>Anthony Di Donato</t>
  </si>
  <si>
    <t>Jasper Kingeter</t>
  </si>
  <si>
    <t>Bernt Rainer Wahl</t>
  </si>
  <si>
    <t>Eric Panzer</t>
  </si>
  <si>
    <t>http://www.panzerforberkeley.com/oldindex.html</t>
  </si>
  <si>
    <t>Jim Novosel</t>
  </si>
  <si>
    <t>https://www.facebook.com/pages/Jim-Novosel-for-Berkeley-City-Council/102355603163548</t>
  </si>
  <si>
    <t>Cecilia "Ces" Rosales</t>
  </si>
  <si>
    <t>https://www.baycitizen.org/blogs/pulse-of-the-bay/candidate-would-be-berkeleys-first/</t>
  </si>
  <si>
    <t>Alameda County DCCC elected member http://www.ebyd.org/site/wp-content/uploads/2010/09/EBYD-Questionnaire-Ces-Rosales.pdf</t>
  </si>
  <si>
    <t>Jacquelyn McCormick</t>
  </si>
  <si>
    <t>Stewart Jones</t>
  </si>
  <si>
    <t>http://stewartjonesberkeley.blogspot.com/</t>
  </si>
  <si>
    <t>http://www.wahl.org/</t>
  </si>
  <si>
    <t>Kahlil “Da Mayor” Jacobs-Fantauzzi</t>
  </si>
  <si>
    <t>https://www.facebook.com/Kahlil4Mayor/timeline?ref=page_internal</t>
  </si>
  <si>
    <t>None</t>
  </si>
  <si>
    <t>Mark Schwartz</t>
  </si>
  <si>
    <t>http://www.berkeleyside.com/2012/07/19/beat-poet-joins-crowded-field-for-mayoral-race/</t>
  </si>
  <si>
    <t>http://www.berkeleydailyplanet.com/issue/2006-10-20/article/25364?headline=Berkeley-Mayoral-Candidate-Statements-Zachary-RunningWolf--Zachary-RunningWolf</t>
  </si>
  <si>
    <t>Adolfo Cabral</t>
  </si>
  <si>
    <t>http://www.smartvoter.org/2012/11/06/ca/alm/vote/cabral_a/</t>
  </si>
  <si>
    <t>http://www.ci.berkeley.ca.us/council2/</t>
  </si>
  <si>
    <t>Denisha Delane</t>
  </si>
  <si>
    <t>http://www.smartvoter.org/2012/11/06/ca/alm/vote/delane_d/</t>
  </si>
  <si>
    <t>Photo- https://www.linkedin.com/in/denishadelane</t>
  </si>
  <si>
    <t>Dmitri Belser</t>
  </si>
  <si>
    <t>http://www.berkeleyside.com/2012/10/18/anderson-and-belser-vie-for-district-3-council-seat/</t>
  </si>
  <si>
    <t>http://www.ci.berkeley.ca.us/council3/</t>
  </si>
  <si>
    <t>http://www.ci.berkeley.ca.us/council5/</t>
  </si>
  <si>
    <t>http://www.sophiehahn.com/</t>
  </si>
  <si>
    <t>http://www.phoebesorgen.net/index.jsp</t>
  </si>
  <si>
    <t>Alejandro Soto-Vigil</t>
  </si>
  <si>
    <t>http://votersedge.org/california/2014/november/berkeley/candidates/council-member-council-district-1/9766-alejandro-soto-vigil#.VagIP5NViko</t>
  </si>
  <si>
    <t>http://www.mercurynews.com/ci_26584312/berkeley-council-incumbent-faces-two-challengers</t>
  </si>
  <si>
    <t>http://www.dailycal.org/2014/07/30/community-advocate-merrilie-mitchell-files-run-city-council-district-1/</t>
  </si>
  <si>
    <t>His website- listed in H</t>
  </si>
  <si>
    <t>Sean Barry</t>
  </si>
  <si>
    <t>http://www.berkeleyside.com/2014/07/07/berkeley-native-seeks-to-be-youngest-city-council-member/</t>
  </si>
  <si>
    <t>http://patch.com/california/berkeley/george-beier-for-berkeley-city-council--kick-off-event-to-meet-the-candidate</t>
  </si>
  <si>
    <t>http://www.berkeleyside.com/2012/06/18/jacquelyn-mccormick-vows-to-be-a-more-inclusive-mayor/</t>
  </si>
  <si>
    <t>Mike Alvarez Cohen</t>
  </si>
  <si>
    <t>http://www.mike4berkeley.org/</t>
  </si>
  <si>
    <t>Jayne Williams</t>
  </si>
  <si>
    <t>http://www.sanfranciscosentinel.com/?p=169867</t>
  </si>
  <si>
    <t>Geoffrey Pete</t>
  </si>
  <si>
    <t>http://postnewsgroup.com/blog/2015/06/18/club-owner-geoffrey-pete-wins-oakland-pillar-indie-award/</t>
  </si>
  <si>
    <t>photo- see H</t>
  </si>
  <si>
    <t>Omari Musa</t>
  </si>
  <si>
    <t>http://www.highbeam.com/doc/1P1-79649938.html</t>
  </si>
  <si>
    <t>Selwyn Whitehead</t>
  </si>
  <si>
    <t>http://www.highbeam.com/doc/1P1-79649938.html and https://www.facebook.com/Law-Offices-of-Selwyn-D-Whitehead-1554196574792696/</t>
  </si>
  <si>
    <t>Tania Kappner</t>
  </si>
  <si>
    <t>https://oaklandnorth.net/2011/01/08/group-pledges-to-continue-legal-challenge-to-proposition-209/</t>
  </si>
  <si>
    <t>Article- mentions that she self identifies as African American</t>
  </si>
  <si>
    <t>Charles P. Crowder</t>
  </si>
  <si>
    <t>http://www.smartvoter.org/2000/03/07/ca/alm/race/LJ015/ and http://www.crowderdevelopment.com/</t>
  </si>
  <si>
    <t>David Hilliard</t>
  </si>
  <si>
    <t>http://articles.orlandosentinel.com/1999-01-08/news/9901080206_1_hilliard-bobby-seale-panther</t>
  </si>
  <si>
    <t>Frank Lamont Allen</t>
  </si>
  <si>
    <t>Gene Hazzard</t>
  </si>
  <si>
    <t>https://www.youtube.com/watch?v=zXhT4FqUlyI</t>
  </si>
  <si>
    <t>Video- see H</t>
  </si>
  <si>
    <t>Heidi Manfroi</t>
  </si>
  <si>
    <t>Hugh E. Bassette</t>
  </si>
  <si>
    <t>http://www.smartvoter.org/2000/03/07/ca/alm/vote/bassette_h/</t>
  </si>
  <si>
    <t>Sylvia D. Howard</t>
  </si>
  <si>
    <t>Arthalia Ray</t>
  </si>
  <si>
    <t>http://www.smartvoter.org/2000/03/07/ca/alm/vote/ray_a/</t>
  </si>
  <si>
    <t>Bob Laurent</t>
  </si>
  <si>
    <t>https://www.facebook.com/bob.laurent.5</t>
  </si>
  <si>
    <t>David L. Anderson, Sr.</t>
  </si>
  <si>
    <t>http://votersedge.org/california/2014/november/san-leandro/candidates/council-member-council-district-1/9848-david-l-anderson-sr#.Vakk45NViko</t>
  </si>
  <si>
    <t>Gilda Gonzales</t>
  </si>
  <si>
    <t>http://abc7news.com/archive/7049576/</t>
  </si>
  <si>
    <t>Alfonso Loera</t>
  </si>
  <si>
    <t>http://www.smartvoter.org/2000/03/07/ca/alm/vote/loera_a/</t>
  </si>
  <si>
    <t>Endorsement from Latino Democratic Club of Alameda</t>
  </si>
  <si>
    <t>Beverly Blythe</t>
  </si>
  <si>
    <t>Earl R. Johson</t>
  </si>
  <si>
    <t>Michael V. Johnson</t>
  </si>
  <si>
    <t>Sylvester Hodges</t>
  </si>
  <si>
    <t>https://oaklandnorth.net/2013/02/28/aims-community-to-ousd-please-dont-close-our-schools/</t>
  </si>
  <si>
    <t>http://www.nytimes.com/2010/09/03/us/politics/03bcbrown.html?_r=0</t>
  </si>
  <si>
    <t>Wilson Riles</t>
  </si>
  <si>
    <t>https://localwiki.org/oakland/Wilson_Riles,_Jr.</t>
  </si>
  <si>
    <t>http://www.sfgate.com/politics/article/OAKLAND-Wan-resigns-from-City-Council-He-ll-2740373.php</t>
  </si>
  <si>
    <t>David Stein</t>
  </si>
  <si>
    <t>http://www.gopublicschools.org/about/board/</t>
  </si>
  <si>
    <t>M. Sweeney Griffith</t>
  </si>
  <si>
    <t>http://www.ourcampaigns.com/CandidateDetail.html?CandidateID=77574</t>
  </si>
  <si>
    <t>Nedir Bey</t>
  </si>
  <si>
    <t>http://www.chaunceybaileyproject.org/2009/09/09/nedir-bey-withdraws-oakland-charter-school-petition/</t>
  </si>
  <si>
    <t>Moses L. Mayne, Jr.</t>
  </si>
  <si>
    <t>Nancy Sidebotham</t>
  </si>
  <si>
    <t>http://memorymap.oacc.cc/people/elderinterviews/henrychang.html</t>
  </si>
  <si>
    <t>Hector "Reno" Reyna</t>
  </si>
  <si>
    <t>Melanie Shelby</t>
  </si>
  <si>
    <t>http://www.sfgate.com/bayarea/article/Career-schools-official-Jason-Hodge-dies-at-34-3278732.php</t>
  </si>
  <si>
    <t>Michael B. Hudson</t>
  </si>
  <si>
    <t>Bob Jackson</t>
  </si>
  <si>
    <t>http://www.npr.org/2013/02/07/171413255/oakland-officials-confounded-by-surge-in-violent-crime</t>
  </si>
  <si>
    <t>Michael Kilian</t>
  </si>
  <si>
    <t>Stewart Bolinger</t>
  </si>
  <si>
    <t>Arnie L. Fields</t>
  </si>
  <si>
    <t>http://www.smartvoter.org/2006/06/06/ca/alm/vote/fields_a/</t>
  </si>
  <si>
    <t>https://localwiki.org/oakland/History_of_Hispanic_and_Latino_Americans</t>
  </si>
  <si>
    <t>Article- see H</t>
  </si>
  <si>
    <t>Ron "Oz" Oznowicz</t>
  </si>
  <si>
    <t>http://www.smartvoter.org/2006/06/06/ca/alm/vote/oznowicz_r/</t>
  </si>
  <si>
    <t>http://www.sfgate.com/politics/article/Dellums-enters-Oakland-mayor-race-as-favorite-2565771.php</t>
  </si>
  <si>
    <t>Aimee Allison Eng</t>
  </si>
  <si>
    <t>https://en.wikipedia.org/wiki/Aimee_Allison</t>
  </si>
  <si>
    <t>http://archive.fairvote.org/oaklandirv/webarchive/kernighan.html</t>
  </si>
  <si>
    <t>Shirley Gee</t>
  </si>
  <si>
    <t>http://www.smartvoter.org/2005/05/17/ca/alm/vote/gee_s/bio.html</t>
  </si>
  <si>
    <t>Marcie Hodge</t>
  </si>
  <si>
    <t>Wandra J. Boyd</t>
  </si>
  <si>
    <t>http://www.smartvoter.org/2004/03/02/ca/alm/vote/boyd_w/bio.html</t>
  </si>
  <si>
    <t>Charles Pine</t>
  </si>
  <si>
    <t>https://www.youtube.com/watch?v=PWdi5ewwaLc</t>
  </si>
  <si>
    <t>Clinton Killian</t>
  </si>
  <si>
    <t>http://www.smartvoter.org/_/2008/06/03/ca/alm/race/48/</t>
  </si>
  <si>
    <t>Frank Rose</t>
  </si>
  <si>
    <t>https://localwiki.org/oakland/Frank_Rose</t>
  </si>
  <si>
    <t>http://hamillforcitycouncil.typepad.com/hamill_for_city_council/files/democrats_for_change_obama_and_hamill.pdf</t>
  </si>
  <si>
    <t>http://www.smartvoter.org/2012/11/06/ca/alm/vote/kaplan_r/bio.html</t>
  </si>
  <si>
    <t>http://www.insidebayarea.com/top-stories/ci_17476911</t>
  </si>
  <si>
    <t>Patrick McCullough</t>
  </si>
  <si>
    <t>https://localwiki.org/oakland/Patrick_McCullough</t>
  </si>
  <si>
    <t>Brian Rogers</t>
  </si>
  <si>
    <t>http://www.lwvoakland.org/files/oakland_evg_june_2008_eng.pdf</t>
  </si>
  <si>
    <t>Tennessee Reed</t>
  </si>
  <si>
    <t>http://smartvoter.org/2008/06/03/ca/alm/vote/reed_t/bio.html</t>
  </si>
  <si>
    <t>http://www.sfgate.com/education/article/PROFILE-Greg-Hodge-Test-of-a-lifetime-2663550.php</t>
  </si>
  <si>
    <t>https://localwiki.org/oakland/Nancy_Nadel</t>
  </si>
  <si>
    <t>Sean Sullivan</t>
  </si>
  <si>
    <t>Olugbemiga Oluwole, Sr.</t>
  </si>
  <si>
    <t>Photo- See H</t>
  </si>
  <si>
    <t>David Wofford</t>
  </si>
  <si>
    <t>Mario Juarez</t>
  </si>
  <si>
    <t>http://sanfrancisco.cbslocal.com/2012/09/26/oakland-city-council-candidate-scrutinized-over-real-estate-deals/</t>
  </si>
  <si>
    <t>Clifford Gilmore</t>
  </si>
  <si>
    <t>http://www.sfgate.com/bayarea/article/District-7-incumbent-faces-newcomer-in-Oakland-3215882.php</t>
  </si>
  <si>
    <t>Beverly Williams</t>
  </si>
  <si>
    <t>Doris Limbrick</t>
  </si>
  <si>
    <t>Arnold Fields</t>
  </si>
  <si>
    <t>https://oaklandnorth.net/2010/10/26/small_business_owner_aims_for_top_oakland_job/</t>
  </si>
  <si>
    <t>Don MacLeay</t>
  </si>
  <si>
    <t>https://oaklandnorth.net/2012/02/25/oakland-green-party-proposes-an-alliance-with-progressive-candidates/</t>
  </si>
  <si>
    <t>Don Perata</t>
  </si>
  <si>
    <t>https://ballotpedia.org/Don_Perata</t>
  </si>
  <si>
    <t>Greg Harland</t>
  </si>
  <si>
    <t>http://www.smartvoter.org/2010/11/02/ca/alm/vote/harland_g/</t>
  </si>
  <si>
    <t>Joe Tuman</t>
  </si>
  <si>
    <t>Larry Lionel Young, Jr.</t>
  </si>
  <si>
    <t>http://www.eastbayexpress.com/oakland/the-baffling-mayoral-bid-of-marcie-hodge/Content?oid=2088792</t>
  </si>
  <si>
    <t>Terence Candell</t>
  </si>
  <si>
    <t>https://oaklandnorth.net/2010/10/29/terence-candell-fights-for-role-as-mayor/</t>
  </si>
  <si>
    <t>https://vimeo.com/15900885</t>
  </si>
  <si>
    <t>Jennifer S. Pae</t>
  </si>
  <si>
    <t>http://www.smartvoter.org/2010/11/02/ca/alm/vote/pae_j/bio.html</t>
  </si>
  <si>
    <t>http://www.contracostatimes.com/news/ci_24736302/pat-kernighan-wont-seek-re-election-oakland-council</t>
  </si>
  <si>
    <t>http://bex.ousd.k12.ca.us/DavidKakishiba.asp</t>
  </si>
  <si>
    <t>http://www.eastbayexpress.com/oakland/the-chambers-candidate-has-quite-a-history-in-business/Content?oid=1089470</t>
  </si>
  <si>
    <t>Photo-see H</t>
  </si>
  <si>
    <t>Daniel Swafford</t>
  </si>
  <si>
    <t>http://www.smartvoter.org/2010/11/02/ca/alm/vote/swafford_d/</t>
  </si>
  <si>
    <t>Jason Gillen</t>
  </si>
  <si>
    <t>https://www.facebook.com/pages/Jason-Gillen-for-Oakland-City-Council-District-4/111207652239810</t>
  </si>
  <si>
    <t>Jill Broadhurst</t>
  </si>
  <si>
    <t>https://playingwithpolitics.wordpress.com/2010/08/17/melanie-shelby-wont-play-with-politics/</t>
  </si>
  <si>
    <t>Ralph Kanz</t>
  </si>
  <si>
    <t>Benjamin Visnick</t>
  </si>
  <si>
    <t>https://vimeo.com/15916594</t>
  </si>
  <si>
    <t>http://bex.ousd.k12.ca.us/GaryYee.asp</t>
  </si>
  <si>
    <t>Jose Dorado</t>
  </si>
  <si>
    <t>http://ww2.kqed.org/news/2014/09/19/what-oakland-residents-want-from-their-next-mayor</t>
  </si>
  <si>
    <t>Surname</t>
  </si>
  <si>
    <t>http://www.sfgate.com/bayarea/article/Oakland-school-board-censures-Dobbins-and-urges-2508334.php</t>
  </si>
  <si>
    <t>http://www.oaklandcityattorney.org/</t>
  </si>
  <si>
    <t>http://web.archive.org/web/20130923185812/http://www.janebrunner.com/</t>
  </si>
  <si>
    <t>Carol Lee Tolbert</t>
  </si>
  <si>
    <t>http://www.tolbertatlarge.org/bio.html</t>
  </si>
  <si>
    <t>http://www.sfgate.com/bayarea/article/Oakland-council-De-La-Fuente-concedes-4031177.php</t>
  </si>
  <si>
    <t>Mick Storm</t>
  </si>
  <si>
    <t>https://oaklandnorth.net/2012/11/05/meet-oakland-city-council-candidates-an-interactive-map/</t>
  </si>
  <si>
    <t>Theresa Anderson</t>
  </si>
  <si>
    <t>Amy Lemley</t>
  </si>
  <si>
    <t>Craig Brandt</t>
  </si>
  <si>
    <t>Donald MacLeay</t>
  </si>
  <si>
    <t>Gordon "Don" Link</t>
  </si>
  <si>
    <t>Len Raphael</t>
  </si>
  <si>
    <t>Richard Raya</t>
  </si>
  <si>
    <t>http://www.ousd.org/Page/457</t>
  </si>
  <si>
    <t>Thearse Pecot</t>
  </si>
  <si>
    <t>https://www.linkedin.com/pub/thearse-pecot/59/904/a62</t>
  </si>
  <si>
    <t>Alex Miller-Cole</t>
  </si>
  <si>
    <t>Derrick Muhammad</t>
  </si>
  <si>
    <t>Nyeisha Dewitt</t>
  </si>
  <si>
    <t>Benjamin Lang</t>
  </si>
  <si>
    <t>http://www.smartvoter.org/2012/11/06/ca/alm/vote/lang_b/</t>
  </si>
  <si>
    <t>http://www.ousd.org/Page/458</t>
  </si>
  <si>
    <t>Richard Fuentes</t>
  </si>
  <si>
    <t>http://www.smartvoter.org/2012/11/06/ca/alm/vote/fuentes_r/bio.html</t>
  </si>
  <si>
    <t>Aracely "Shelly" Garza</t>
  </si>
  <si>
    <t>Dawn McMahan</t>
  </si>
  <si>
    <t>Mike Hutchinson</t>
  </si>
  <si>
    <t>https://www.facebook.com/MikeHutchinson4SchoolBoard/info?tab=page_info</t>
  </si>
  <si>
    <t>http://www.ousd.org/Page/9837</t>
  </si>
  <si>
    <t>http://www.eastbaytimes.com/elections/ci_21764003/oaklands-district-7-city-council-race-pits-incumbent</t>
  </si>
  <si>
    <t>Sheryl Walton</t>
  </si>
  <si>
    <t>http://www.ousd.org/Page/9838</t>
  </si>
  <si>
    <t>http://www.smartvoter.org/2012/11/06/ca/alm/vote/spearman_a/bio.html</t>
  </si>
  <si>
    <t>http://www.oaklandauditor.com/</t>
  </si>
  <si>
    <t>https://www.facebook.com/lensforchange/info?tab=page_info</t>
  </si>
  <si>
    <t>Bryan Parker</t>
  </si>
  <si>
    <t>http://www.oakmayor2014.com/candidates/bryan-parker/</t>
  </si>
  <si>
    <t>http://www.eastbayexpress.com/oakland/who-is-bryan-parker/Content?oid=3868243</t>
  </si>
  <si>
    <t>Charles R. Williams</t>
  </si>
  <si>
    <t>http://www.oakmayor2014.com/candidates/charles-ray-williams/</t>
  </si>
  <si>
    <t>https://fundly.com/charles-r-williams-for-mayor-of-oakland</t>
  </si>
  <si>
    <t>http://www.oakmayor2014.com/candidates/courtney-ruby/</t>
  </si>
  <si>
    <t>http://www.oakmayor2014.com/candidates/dan-siegel/</t>
  </si>
  <si>
    <t>https://localwiki.org/oakland/2014_Mayoral_Election</t>
  </si>
  <si>
    <t>Eric Wilson</t>
  </si>
  <si>
    <t>http://www.oakmayor2014.com/candidates/eric-wilson/</t>
  </si>
  <si>
    <t>Jason Anderson</t>
  </si>
  <si>
    <t>http://www.oakmayor2014.com/candidates/jason-anderson/</t>
  </si>
  <si>
    <t>https://www.linkedin.com/in/shake9169</t>
  </si>
  <si>
    <t>http://www.sfgate.com/politics/article/Becoming-mayor-after-years-of-fighting-authority-2479776.php and http://www.sfgate.com/bayarea/article/Jean-Quan-loses-Oakland-mayor-s-job-to-Libby-5873406.php</t>
  </si>
  <si>
    <t>http://www.oakmayor2014.com/candidates/joe-tuman/</t>
  </si>
  <si>
    <t>Ken Houston</t>
  </si>
  <si>
    <t>http://www.oakmayor2014.com/candidates/ken-houston/</t>
  </si>
  <si>
    <t>https://localwiki.org/oakland/Ken_Houston</t>
  </si>
  <si>
    <t>http://www2.oaklandnet.com/Government/o/Mayor/</t>
  </si>
  <si>
    <t>http://www.oakmayor2014.com/candidates/nancy-sidebotham/</t>
  </si>
  <si>
    <t>Pat McCullough</t>
  </si>
  <si>
    <t>http://www.oakmayor2014.com/candidates/patrick-mccullough/</t>
  </si>
  <si>
    <t>Peter Liu</t>
  </si>
  <si>
    <t>http://www.oakmayor2014.com/candidates/peter-y-liu/</t>
  </si>
  <si>
    <t>https://localwiki.org/oakland/Peter_Y._Liu</t>
  </si>
  <si>
    <t>http://www.ebar.com/news/article.php?sec=news&amp;article=2749</t>
  </si>
  <si>
    <t>Saied Karamooz</t>
  </si>
  <si>
    <t>http://www.oakmayor2014.com/candidates/saied-karamooz/</t>
  </si>
  <si>
    <t>http://www.smartvoter.org/2014/11/04/ca/alm/vote/karamooz_s/</t>
  </si>
  <si>
    <t>Sammuel Washington</t>
  </si>
  <si>
    <t>http://www.oakmayor2014.com/candidates/sam-washington/</t>
  </si>
  <si>
    <t>https://localwiki.org/oakland/Sam_(Sammuel)_Washington/Positions</t>
  </si>
  <si>
    <t>http://votersedge.org/california/2014/november/oakland/candidates/council-member-council-district-2/9818-ken-maxey#.VagdVJNViko</t>
  </si>
  <si>
    <t xml:space="preserve">Ran for CA State assembly D 18 in 2012; advanced to the general election </t>
  </si>
  <si>
    <t>Andrew Park</t>
  </si>
  <si>
    <t>Dana King</t>
  </si>
  <si>
    <t>http://www.smartvoter.org/2014/11/04/ca/alm/vote/king_d/</t>
  </si>
  <si>
    <t>Ken Maxey</t>
  </si>
  <si>
    <t>Undetermined- Definitely POC</t>
  </si>
  <si>
    <t>http://www.mercurynews.com/ci_26636498/oakland-five-candidates-vie-replace-pat-kernighan and http://www.oaklandchamber.com/pages/BoardofDirectors/</t>
  </si>
  <si>
    <t>http://www.mercurynews.com/ci_26636498/oakland-five-candidates-vie-replace-pat-kernighan</t>
  </si>
  <si>
    <t>Kevin Blackburn</t>
  </si>
  <si>
    <t>William "Bo" Ghirardelli</t>
  </si>
  <si>
    <t>http://www.mercurynews.com/News/ci_26538945/More-residents-want-to-help-manage-Oakland-school-district and http://greensidedevelopment.org/bo-ghirardelli/</t>
  </si>
  <si>
    <t>http://www.gopublicschools.org/2014/07/district_2_campaign_2014.php</t>
  </si>
  <si>
    <t>http://www2.oaklandnet.com/Government/o/CityCouncil/o/District4/index.htm</t>
  </si>
  <si>
    <t>http://ballotpedia.org/Jill_Broadhurst</t>
  </si>
  <si>
    <t>Paul Lim</t>
  </si>
  <si>
    <t>http://ballotpedia.org/Paul_Lim</t>
  </si>
  <si>
    <t>http://www.smartvoter.org/2014/11/04/ca/alm/race/029/</t>
  </si>
  <si>
    <t>Cheri Spigner</t>
  </si>
  <si>
    <t>http://www.smartvoter.org/2014/11/04/ca/alm/vote/spigner_c/</t>
  </si>
  <si>
    <t>Karl Debro</t>
  </si>
  <si>
    <t>http://democracy.com/karldebro/</t>
  </si>
  <si>
    <t>http://www.ninaforschoolboard.com/about</t>
  </si>
  <si>
    <t>Saleem Shakir-Gilmore</t>
  </si>
  <si>
    <t>http://www.saleem4oakland.us/my_experience</t>
  </si>
  <si>
    <t>http://www.sfchronicle.com/bayarea/johnson/article/Oakland-Councilwoman-Desley-Brooks-is-out-of-6652964.php</t>
  </si>
  <si>
    <t>James Moore</t>
  </si>
  <si>
    <t>https://ballotpedia.org/James_Moore_(California)</t>
  </si>
  <si>
    <t>http://apacaucus.org/downloads/2014/09/James-Moore-Oakland-City-Council.pdf</t>
  </si>
  <si>
    <t>https://ballotpedia.org/Michael_V._Johnson</t>
  </si>
  <si>
    <t>https://localwiki.org/oakland/Michael_Johnson</t>
  </si>
  <si>
    <t>Shereda F. Nosakhare</t>
  </si>
  <si>
    <t>http://www.emergeamerica.org/people/shereda-nosakhare</t>
  </si>
  <si>
    <t>Vicente Cruz</t>
  </si>
  <si>
    <t>http://cruzthinks.blogspot.com/</t>
  </si>
  <si>
    <t>Renato Almanzor</t>
  </si>
  <si>
    <t>http://www.renato4schoolboard.com/endorsements</t>
  </si>
  <si>
    <t>Shanthi Gonzales</t>
  </si>
  <si>
    <t>http://gonzalesforschools.nationbuilder.com/about_shanthi</t>
  </si>
  <si>
    <t>Courtlland Corky Booze</t>
  </si>
  <si>
    <t>http://www.emcresearch.com/emcstaff.html</t>
  </si>
  <si>
    <t>Dale Paulson</t>
  </si>
  <si>
    <t>http://www.smartvoter.org/1999nov/ca/cc/vote/paulson_d/</t>
  </si>
  <si>
    <t>Ellie Strauss</t>
  </si>
  <si>
    <t>http://www.pointrichmondvoice.com/2010/08/natatorium-reopens-to-big-crowd-of.html</t>
  </si>
  <si>
    <t>Joe Brown</t>
  </si>
  <si>
    <t>http://www.sfgate.com/bayarea/article/OF-RACE-AND-PLACE-Parchester-Village-2841663.php</t>
  </si>
  <si>
    <t>Karen D. Ortega</t>
  </si>
  <si>
    <t>http://www.smartvoter.org/1999nov/ca/cc/vote/ortega_k/</t>
  </si>
  <si>
    <t>Surname and Endorsments point to Latino</t>
  </si>
  <si>
    <t>Steve Harvey</t>
  </si>
  <si>
    <t>http://www.smartvoter.org/1999nov/ca/cc/vote/harvey_s/</t>
  </si>
  <si>
    <t>Adrienne Harris</t>
  </si>
  <si>
    <t>http://www.smartvoter.org/2001/11/06/ca/cc/vote/harris_a/</t>
  </si>
  <si>
    <t>Board of Education Trustee, West Contra Costa Unified, 1995-99</t>
  </si>
  <si>
    <t>Rachel McGee</t>
  </si>
  <si>
    <t>http://www.smartvoter.org/2001/11/06/ca/cc/vote/mcgee_r/</t>
  </si>
  <si>
    <t>http://www.memorialobituaries.com/memorials/obits_display.cgi?action=Obit&amp;memid=193454</t>
  </si>
  <si>
    <t>Lynn J. Wade</t>
  </si>
  <si>
    <t>Gary L. Bell</t>
  </si>
  <si>
    <t>http://www.sfgate.com/politics/article/RICHMOND-Richmond-sticks-with-3-council-members-2676931.php</t>
  </si>
  <si>
    <t>Andres Soto</t>
  </si>
  <si>
    <t>Arnie Kasendorf</t>
  </si>
  <si>
    <t>http://richmondmainstreet.org/board-of-directors</t>
  </si>
  <si>
    <t>Bill Idzerda</t>
  </si>
  <si>
    <t>http://www.smartvoter.org/2004/11/02/ca/cc/vote/idzerda_b/</t>
  </si>
  <si>
    <t>Deborah Preston Stewart</t>
  </si>
  <si>
    <t>Eddrick J. Osborne</t>
  </si>
  <si>
    <t>http://www.smartvoter.org/2004/11/02/ca/cc/vote/osborne_e/</t>
  </si>
  <si>
    <t>Herman Blackwell</t>
  </si>
  <si>
    <t>http://northbaymorningshow.blogspot.com/2013_09_01_archive.html</t>
  </si>
  <si>
    <t>Kathy "Storm" Scharff</t>
  </si>
  <si>
    <t>http://www.usmayors.org/73rdAnnualMeeting/friday.asp</t>
  </si>
  <si>
    <t>James "Jim" Jenkins</t>
  </si>
  <si>
    <t>http://richmondconfidential.org/2012/01/28/jenkins-testimony-continues-in-discrimination-suit/</t>
  </si>
  <si>
    <t>http://www.smartvoter.org/2006/11/07/ca/cc/vote/viramontes_m/</t>
  </si>
  <si>
    <t>http://www.tonythurmond.com/endorsements</t>
  </si>
  <si>
    <t>Chris Tallerico</t>
  </si>
  <si>
    <t>http://www.insidebayarea.com/trivalleyherald/localnews/ci_10785642</t>
  </si>
  <si>
    <t>https://www.linkedin.com/in/ctallerico</t>
  </si>
  <si>
    <t>Harpreet S. Sandhu</t>
  </si>
  <si>
    <t>http://www.ci.richmond.ca.us/1575/Harpreet-S-Sandhu-Incumbent</t>
  </si>
  <si>
    <t>http://www.contracostatimes.com/ci_22194882/richmond-councilman-jeff-rittermans-history-future</t>
  </si>
  <si>
    <t>https://www.linkedin.com/in/jeff-ritterman-a8aa449</t>
  </si>
  <si>
    <t>http://www.4cd.edu/gb/default.aspx</t>
  </si>
  <si>
    <t>https://en.wikipedia.org/wiki/John_M%C3%A1rquez</t>
  </si>
  <si>
    <t>Latina/African American</t>
  </si>
  <si>
    <t>http://www.ci.richmond.ca.us/398/Nathaniel-Bates</t>
  </si>
  <si>
    <t>Navdeep K. Garcha</t>
  </si>
  <si>
    <t>Undeteremined</t>
  </si>
  <si>
    <t>http://www.ci.richmond.ca.us/1572/Navdeep-Garcha</t>
  </si>
  <si>
    <t>Rock Brown</t>
  </si>
  <si>
    <t>http://richmondconfidential.org/2009/12/01/richmond-becomes-human-rights-city/</t>
  </si>
  <si>
    <t>http://www.eduardomartinez4richmond.net/about.htm</t>
  </si>
  <si>
    <t>Harry Singh</t>
  </si>
  <si>
    <t>http://richmondconfidential.org/2010/10/28/singh-hopes-to-bring-harmony-to-council/</t>
  </si>
  <si>
    <t>c</t>
  </si>
  <si>
    <t>Maria "MTV" Viramontes</t>
  </si>
  <si>
    <t>http://richmondconfidential.org/2010/10/20/unfinished-business-mayor-seeks-second-term/</t>
  </si>
  <si>
    <t>Article- self-identifies</t>
  </si>
  <si>
    <t>Myrna Lopez</t>
  </si>
  <si>
    <t>http://richmondconfidential.org/2010/10/26/lopezs-well-funded-re-election-bid-focused-on-jobs-education/</t>
  </si>
  <si>
    <t>Rhonda F. Harris</t>
  </si>
  <si>
    <t>https://www.facebook.com/pages/Rhonda-F-Harris-for-Richmond-City-Council/109017909115836?sk=info&amp;tab=page_info</t>
  </si>
  <si>
    <t>http://www.tombutt.com/forum/2010/100910.htm</t>
  </si>
  <si>
    <t>Virginia Finlay</t>
  </si>
  <si>
    <t>http://richmondconfidential.org/2010/10/24/a-business-mind-makes-a-difference-finlay-says/</t>
  </si>
  <si>
    <t>John Ziesenhenne</t>
  </si>
  <si>
    <t>http://richmondconfidential.org/2010/07/27/ex-councilman-ziesenhenne-officially-in-mayors-race/</t>
  </si>
  <si>
    <t>Anthony Lamar Green</t>
  </si>
  <si>
    <t>http://richmondconfidential.org/2012/10/16/city-council-election-2012-anthony-green/</t>
  </si>
  <si>
    <t>Bea Roberson</t>
  </si>
  <si>
    <t>http://www.contracostatimes.com/ci_21563097/meet-candidates-richmond-city-council-2012</t>
  </si>
  <si>
    <t>Eleanor Thompson</t>
  </si>
  <si>
    <t>http://www.smartvoter.org/2012/11/06/ca/cc/vote/thompson_e/</t>
  </si>
  <si>
    <t>http://richmondconfidential.org/2013/01/03/richmond-councilman-elect-gary-bell-will-not-take-office-january-8-due-to-illness/</t>
  </si>
  <si>
    <t>http://www.jaelmyrick.com/</t>
  </si>
  <si>
    <t>Marilyn Langlois</t>
  </si>
  <si>
    <t>http://www.marilynlanglois.net/about.htm</t>
  </si>
  <si>
    <t>Mark Steven Wassberg</t>
  </si>
  <si>
    <t>https://twitter.com/markstwass</t>
  </si>
  <si>
    <t>Mike Ali-Kinney</t>
  </si>
  <si>
    <t>http://blog.sfgate.com/incontracosta/2013/01/09/richmond-city-council-welcomes-back-nat-bates-tom-butt-with-swearing-in-ceremony/</t>
  </si>
  <si>
    <t>Albert R. Martinez</t>
  </si>
  <si>
    <t>Charles T. Ramsey</t>
  </si>
  <si>
    <t>http://www.contracostatimes.com/ci_23628422/school-board-leader-charles-ramsey-has-sights-set</t>
  </si>
  <si>
    <t>Dameion D. King</t>
  </si>
  <si>
    <t>https://www.facebook.com/pages/Dameion-D-King-for-Richmond-CA-City-Council-Nov-4-2014/745519868817061</t>
  </si>
  <si>
    <t>Donna Powers</t>
  </si>
  <si>
    <t>http://www.donnapowers.org/</t>
  </si>
  <si>
    <t>Henry Washington</t>
  </si>
  <si>
    <t>http://www.radiofreerichmond.com/pastor_washington_richmond_has_fallen_asleep</t>
  </si>
  <si>
    <t>http://www.mayorgayle.net/</t>
  </si>
  <si>
    <t>http://www.contracostatimes.com/west-county-times/ci_27086465/richmond-loses-moderate-council-member-jim-rogers</t>
  </si>
  <si>
    <t>http://www.jovankabeckles.net/meetjb.htm</t>
  </si>
  <si>
    <t>Website- self-identified</t>
  </si>
  <si>
    <t>Uche Justin Uwahemu</t>
  </si>
  <si>
    <t>http://richmondconfidential.org/2014/11/01/uche-uwahemu-fighting-an-uphill-battle-for-mayor-of-richmond/</t>
  </si>
  <si>
    <t>http://richmondconfidential.org/2014/06/02/mayoral-profile-nat-bates/</t>
  </si>
  <si>
    <t>http://www.tombutt.com/</t>
  </si>
  <si>
    <t>Anthony D. Creer</t>
  </si>
  <si>
    <t>https://www.facebook.com/electanthonycreer</t>
  </si>
  <si>
    <t>http://www.corkyforcouncil.net/</t>
  </si>
  <si>
    <t>X159</t>
  </si>
  <si>
    <t>Board of Supervisors</t>
  </si>
  <si>
    <t>AD Wyatt Norton</t>
  </si>
  <si>
    <t>http://www.smartvoter.org/1999nov/ca/sf/vote/norton_a/</t>
  </si>
  <si>
    <t>Adrian Bermudez</t>
  </si>
  <si>
    <t>Angela Alioto</t>
  </si>
  <si>
    <t>Barbra Kaufman</t>
  </si>
  <si>
    <t>Chris Berry</t>
  </si>
  <si>
    <t>Cleve Jones</t>
  </si>
  <si>
    <t>http://www.lambdaarchives.us/2008_honorees/cleve_jones.htm</t>
  </si>
  <si>
    <t>Ellis L. A. Keys</t>
  </si>
  <si>
    <t>?</t>
  </si>
  <si>
    <t>Emanuel Aravena</t>
  </si>
  <si>
    <t>Fernando Aranguiz</t>
  </si>
  <si>
    <t>Fred Cramer</t>
  </si>
  <si>
    <t>Ivan Kinkennon</t>
  </si>
  <si>
    <t>http://boards.ancestry.com/thread.aspx?mv=flat&amp;m=34&amp;p=localities.northam.usa.states.iowa.counties.union</t>
  </si>
  <si>
    <t>Jim Gonzalez</t>
  </si>
  <si>
    <t>http://www.jimgonzalez.com/profiles.php</t>
  </si>
  <si>
    <t>Website and photo</t>
  </si>
  <si>
    <t>Jimmie Rankin</t>
  </si>
  <si>
    <t>Jose E. Medina</t>
  </si>
  <si>
    <t>Lorin S. Rosmond</t>
  </si>
  <si>
    <t>Manuel A. Rosales</t>
  </si>
  <si>
    <t>https://www.leadershipinstitute.org/training/contact.cfm?FacultyID=1074203</t>
  </si>
  <si>
    <t>Photo and his association with certain Hispanic organizations</t>
  </si>
  <si>
    <t>Maria Martinez</t>
  </si>
  <si>
    <t>Milton Chee</t>
  </si>
  <si>
    <t>Nancy A. Nielson</t>
  </si>
  <si>
    <t>Richard D. Hongisto</t>
  </si>
  <si>
    <t>https://en.wikipedia.org/wiki/Richard_Hongisto</t>
  </si>
  <si>
    <t>http://www.sfgate.com/news/article/Former-S-F-supervisor-Sue-Bierman-dies-after-car-2514661.php</t>
  </si>
  <si>
    <t>Tom Hsieh</t>
  </si>
  <si>
    <t>William Brown Jr</t>
  </si>
  <si>
    <t>Willie B. Kennedy</t>
  </si>
  <si>
    <t>http://www.sfgate.com/bayarea/article/Willie-B-Kennedy-longtime-S-F-supervisor-4655772.php</t>
  </si>
  <si>
    <t>Photo and article</t>
  </si>
  <si>
    <t>X155</t>
  </si>
  <si>
    <t>Louise H. Renee</t>
  </si>
  <si>
    <t>http://www.sfgate.com/news/article/Louise-Renne-keeping-busy-with-work-good-works-2370821.php</t>
  </si>
  <si>
    <t>Niel Eisenberg</t>
  </si>
  <si>
    <t>X157</t>
  </si>
  <si>
    <t>Mary I Callanan</t>
  </si>
  <si>
    <t>http://www.irishcentersf.org/newsletters/2007/July_2007.pdf</t>
  </si>
  <si>
    <t>X110</t>
  </si>
  <si>
    <t>Alicia Wong</t>
  </si>
  <si>
    <t>Annemarie Conroy</t>
  </si>
  <si>
    <t>http://www.sfgate.com/politics/article/SAN-FRANCISCO-Annemarie-Conroy-s-newest-job-2483414.php</t>
  </si>
  <si>
    <t>Arther M. Jackson</t>
  </si>
  <si>
    <t>http://www.sfgate.com/bayarea/article/Arthur-M-Jackson-businessman-civic-leader-2499641.php</t>
  </si>
  <si>
    <t>Bruce Quan</t>
  </si>
  <si>
    <t>Carole Migden</t>
  </si>
  <si>
    <t>http://www.sfgate.com/bayarea/article/For-departing-Sen-Migden-a-bittersweet-time-3183231.php</t>
  </si>
  <si>
    <t>Cesar Ascarunz</t>
  </si>
  <si>
    <t>Chuck Hollom</t>
  </si>
  <si>
    <t>Della Johnson</t>
  </si>
  <si>
    <t>Ellis L.A. Keys</t>
  </si>
  <si>
    <t>Jacquelyn Garrison</t>
  </si>
  <si>
    <t>Josh Newman</t>
  </si>
  <si>
    <t>Joyce E. Jordan</t>
  </si>
  <si>
    <t>http://www.northside-sj.org/html/projects/proj_history_ellington.html</t>
  </si>
  <si>
    <t>Kevin Shelley</t>
  </si>
  <si>
    <t>http://www.sfgate.com/politics/article/Secretary-of-State-Shelley-received-dubious-3303477.php</t>
  </si>
  <si>
    <t>Larry Victoria</t>
  </si>
  <si>
    <t>Mabel Tang</t>
  </si>
  <si>
    <t>http://www.chinesejournal.com/Lit_proc.html</t>
  </si>
  <si>
    <t>Norbert Nicols</t>
  </si>
  <si>
    <t>Phyllis Tolliver</t>
  </si>
  <si>
    <t>Ron C. Loftin</t>
  </si>
  <si>
    <t>Sylvia Courtney</t>
  </si>
  <si>
    <t>Thomas Adams</t>
  </si>
  <si>
    <t>Wardell Fincher</t>
  </si>
  <si>
    <t>http://www.sfgate.com/news/article/Wardell-Fincher-s-banners-To-Oklahoma-with-hugs-3145127.php</t>
  </si>
  <si>
    <t>X134</t>
  </si>
  <si>
    <t>Public Defender</t>
  </si>
  <si>
    <t>Ben Hom</t>
  </si>
  <si>
    <t>http://www.sfgate.com/news/article/SUNDAY-INTERVIEW-BEN-HOM-A-Longshot-mayoral-3022032.php</t>
  </si>
  <si>
    <t>Dan Larkosh</t>
  </si>
  <si>
    <t>http://www.ourcampaigns.com/CandidateDetail.html?CandidateID=203831</t>
  </si>
  <si>
    <t>Ellis L.A. Keyes</t>
  </si>
  <si>
    <t>Frank M. Jordan</t>
  </si>
  <si>
    <t>http://www.nytimes.com/1991/12/12/us/liberal-city-elects-a-moderate-mayor.html</t>
  </si>
  <si>
    <t>Joel Ventresca</t>
  </si>
  <si>
    <t>Roberta Achtenberg</t>
  </si>
  <si>
    <t>http://www.bizjournals.com/sanfrancisco/print-edition/2015/06/12/lgbt-pride-outstanding-voices-roberta-achtenberg.html</t>
  </si>
  <si>
    <t>Willie Lewis Brown, Jr.</t>
  </si>
  <si>
    <t>X107</t>
  </si>
  <si>
    <t>District Attorney</t>
  </si>
  <si>
    <t>Arlo Smith</t>
  </si>
  <si>
    <t>http://www.smartvoter.org/2004/03/02/ca/sf/vote/smith_a/</t>
  </si>
  <si>
    <t>Bill Fazio</t>
  </si>
  <si>
    <t>Pacific Islander (Asian)</t>
  </si>
  <si>
    <t>Terence Hallinan</t>
  </si>
  <si>
    <t>http://www.spur.org/blog/2014-11-24/2014-silver-spur-how-ron-and-barbara-kaufman-advocate-san-francisco</t>
  </si>
  <si>
    <t>Andy Clark</t>
  </si>
  <si>
    <t>https://www.linkedin.com/pub/andrew-clark/5/650/709</t>
  </si>
  <si>
    <t>Arthur Jackson</t>
  </si>
  <si>
    <t>Bruce Quan, Jr.</t>
  </si>
  <si>
    <t>Undetermined- suspect asian</t>
  </si>
  <si>
    <t>http://www.sfgate.com/news/article/BAY-AREA-DATELINES-3129016.php</t>
  </si>
  <si>
    <t>Carlos Petroni</t>
  </si>
  <si>
    <t>Caroline Marks</t>
  </si>
  <si>
    <t>http://www.sfgate.com/politics/article/S-F-s-Uncle-Miltie-Dies-Inveterate-2974875.php</t>
  </si>
  <si>
    <t>Donna Casey</t>
  </si>
  <si>
    <t>Ellis Keyes</t>
  </si>
  <si>
    <t>Harold M. Hoogasian</t>
  </si>
  <si>
    <t>Joe Konopka</t>
  </si>
  <si>
    <t>Len Pettigrew</t>
  </si>
  <si>
    <t>http://www.sfport.com/index.aspx?page=24</t>
  </si>
  <si>
    <t>Lorin Scott Rosemond</t>
  </si>
  <si>
    <t>http://www.sfgate.com/news/article/CAMPAIGN-96-3119088.php</t>
  </si>
  <si>
    <t>Lucrecia Bermudez</t>
  </si>
  <si>
    <t>Manuel A. "Manny" Rosales</t>
  </si>
  <si>
    <t>http://www.sfgate.com/news/article/8-Hopefuls-Seen-as-Having-Shot-at-S-F-Board-2961216.php</t>
  </si>
  <si>
    <t>Margo St. James</t>
  </si>
  <si>
    <t>http://www.sfgate.com/entertainment/article/WHERE-ARE-THEY-NOW-Hookers-Ball-Founder-St-2917421.php</t>
  </si>
  <si>
    <t>Robert Coleman</t>
  </si>
  <si>
    <t>Robert J. Squeri</t>
  </si>
  <si>
    <t>http://www.smartvoter.org/2012/11/06/ca/sf/race/5107/</t>
  </si>
  <si>
    <t>Scott Durcanin</t>
  </si>
  <si>
    <t>http://www.smartvoter.org/2000/03/07/ca/sf/vote/durcanin_s/</t>
  </si>
  <si>
    <t>Shawn O'Hearn</t>
  </si>
  <si>
    <t>Susan C. Zarate</t>
  </si>
  <si>
    <t>Teresita Williams</t>
  </si>
  <si>
    <t>Victor Marquez</t>
  </si>
  <si>
    <t>http://publiclawgroup.com/people/louise-renne/</t>
  </si>
  <si>
    <t>http://www.sfgate.com/politics/article/SAN-FRANCISCO-Mayor-Critic-Rose-Tsai-To-Run-for-3000515.php</t>
  </si>
  <si>
    <t>Denise D'Anne</t>
  </si>
  <si>
    <t>http://somaleadership.org/2014/10/21/denise-danne-says/</t>
  </si>
  <si>
    <t>http://www.sfgate.com/news/article/Centrist-seeks-niche-among-liberals-3240918.php</t>
  </si>
  <si>
    <t>Frederick Hobson</t>
  </si>
  <si>
    <t>http://www.smartvoter.org/2000/03/07/ca/sf/vote/hobson_f/philosophy.html</t>
  </si>
  <si>
    <t>Jim Reid</t>
  </si>
  <si>
    <t>Rose Tsai</t>
  </si>
  <si>
    <t>Sam Lucas</t>
  </si>
  <si>
    <t>Tahnee Stair</t>
  </si>
  <si>
    <t>http://www.sfgate.com/politics/article/S-F-s-Jeff-Brown-Picked-for-Post-On-State-PUC-2962600.php</t>
  </si>
  <si>
    <t>Matt Gonzalez</t>
  </si>
  <si>
    <t>Mike Schaefer</t>
  </si>
  <si>
    <t>http://www.ourcampaigns.com/CandidateDetail.html?CandidateID=19375</t>
  </si>
  <si>
    <t>Steve Castleman</t>
  </si>
  <si>
    <t>http://www.ourcampaigns.com/CandidateDetail.html?CandidateID=19374</t>
  </si>
  <si>
    <t>http://articles.latimes.com/1995-12-14/news/mn-13946_1_district-attorney and https://en.wikipedia.org/wiki/Terence_Hallinan</t>
  </si>
  <si>
    <t>A.D. Wyatt Norton</t>
  </si>
  <si>
    <t>http://www.sfgate.com/politics/article/Names-on-S-F-Ballot-Can-Show-Their-Faces-2906504.php#photo-2246678</t>
  </si>
  <si>
    <t>Ran for office in 1992</t>
  </si>
  <si>
    <t>Anatole Ghio</t>
  </si>
  <si>
    <t>Cesar Ascarrunz</t>
  </si>
  <si>
    <t>Clint Reilly</t>
  </si>
  <si>
    <t>http://www.clintreilly.com/</t>
  </si>
  <si>
    <t>David J. Martz</t>
  </si>
  <si>
    <t>http://www.sfgate.com/politics/article/Names-on-S-F-Ballot-Can-Show-Their-Faces-2906504.php#photo-2246677</t>
  </si>
  <si>
    <t>J.R. Manuel</t>
  </si>
  <si>
    <t>Larry J. Edmond</t>
  </si>
  <si>
    <t>http://www.sfweekly.com/thesnitch/2012/06/26/larry-juicye-edmond-lgbt-activist-in-rainbow-wig-acquitted-of-restraining-order-violation</t>
  </si>
  <si>
    <t>Mark "Superbooty" O'Hara</t>
  </si>
  <si>
    <t>Martin Lee Eng</t>
  </si>
  <si>
    <t>http://www.smartvoter.org/1999nov/ca/sf/vote/eng_m/bio.html</t>
  </si>
  <si>
    <t>Max Woods</t>
  </si>
  <si>
    <t>Steve Whyte</t>
  </si>
  <si>
    <t>https://www.linkedin.com/in/stevewhyte</t>
  </si>
  <si>
    <t>William Felzer</t>
  </si>
  <si>
    <t>http://www.sfgate.com/politics/article/Names-on-S-F-Ballot-Can-Show-Their-Faces-2906504.php#photo-2246674</t>
  </si>
  <si>
    <t>http://www.smartvoter.org/1999nov/ca/sf/vote/brown_w/</t>
  </si>
  <si>
    <t>Sheriff</t>
  </si>
  <si>
    <t>Board of Supervisors D1</t>
  </si>
  <si>
    <t>http://www.sfbos.org/index.aspx?page=3039 and http://www.sfgate.com/bayarea/article/Recall-of-Supervisor-Jake-McGoldrick-fails-2538522.php</t>
  </si>
  <si>
    <t>https://en.wikipedia.org/wiki/Jake_McGoldrick  http://www.sfbos.org/index.aspx?page=3039</t>
  </si>
  <si>
    <t>Jason Z. Jungreis</t>
  </si>
  <si>
    <t>coudl not find</t>
  </si>
  <si>
    <t>http://www.ourcampaigns.com/CandidateDetail.html?CandidateID=66217</t>
  </si>
  <si>
    <t>Ron "K" Konopaski</t>
  </si>
  <si>
    <t>http://www.huffingtonpost.com/2013/03/18/san-francisco-abortion-clinic_n_2903800.html</t>
  </si>
  <si>
    <t>Board of Supervisors D2</t>
  </si>
  <si>
    <t>Board of Supervisors D3</t>
  </si>
  <si>
    <t>https://en.wikipedia.org/wiki/Aaron_Peskin</t>
  </si>
  <si>
    <t>Alicia Becerril</t>
  </si>
  <si>
    <t>http://www.sfgate.com/politics/article/Latina-Lawyer-Named-to-Board-of-Supervisors-2950574.php</t>
  </si>
  <si>
    <t>Bob Coleman</t>
  </si>
  <si>
    <t>http://www.fogcityjournal.com/wordpress/995/neighborhood-activist-honored/</t>
  </si>
  <si>
    <t>http://www.smartvoter.org/2000/11/07/ca/sf/race/07/</t>
  </si>
  <si>
    <t>Lawrence Wong</t>
  </si>
  <si>
    <t>http://www.hyphenmagazine.com/blog/2009/01/david-chiu-new-president-san-francisco-board-supervisors</t>
  </si>
  <si>
    <t>Meagan Levitan</t>
  </si>
  <si>
    <t>http://www.theirelandfunds.org/upcoming-events/id.372/title.San-Francisco-Annual-Womens-Luncheon-2012</t>
  </si>
  <si>
    <t>https://www.youtube.com/watch?v=1Y0ks13kCCo</t>
  </si>
  <si>
    <t>Pelino "Paul" Jacobu</t>
  </si>
  <si>
    <t>Rose Chung</t>
  </si>
  <si>
    <t>http://www.sfweekly.com/sanfrancisco/a-republican-by-any-other-name/Content?oid=2138309</t>
  </si>
  <si>
    <t>Board of Supervisors D4</t>
  </si>
  <si>
    <t>Darryl Honda</t>
  </si>
  <si>
    <t>http://asiapacificuniverse.com/asia_pacific/messages7/132.html</t>
  </si>
  <si>
    <t>Jefferey Dilwyn Roger</t>
  </si>
  <si>
    <t>John Shanley</t>
  </si>
  <si>
    <t>http://www.smartvoter.org/2000/11/07/ca/sf/vote/shanley_j/</t>
  </si>
  <si>
    <t>Ron Dudum</t>
  </si>
  <si>
    <t>http://www.smartvoter.org/2000/11/07/ca/sf/vote/hsieh_t/bio.html</t>
  </si>
  <si>
    <t>Vu-Duc Vuong</t>
  </si>
  <si>
    <t>http://www.smartvoter.org/2000/11/07/ca/sf/vote/vuong_v/</t>
  </si>
  <si>
    <t>Board of Supervisors D5</t>
  </si>
  <si>
    <t>Agar Jaicks</t>
  </si>
  <si>
    <t>http://www.imdb.com/name/nm0413203/</t>
  </si>
  <si>
    <t>Demian Barrett</t>
  </si>
  <si>
    <t>http://www.smartvoter.org/2000/11/07/ca/sf/vote/barrett_d/</t>
  </si>
  <si>
    <t>Holman Turner, Jr.</t>
  </si>
  <si>
    <t>http://www.smartvoter.org/2000/11/07/ca/sf/vote/turner_h/</t>
  </si>
  <si>
    <t>Jay Bagi</t>
  </si>
  <si>
    <t>http://www.smartvoter.org/2000/11/07/ca/sf/ballot.html</t>
  </si>
  <si>
    <t>http://www.sfgate.com/bayarea/article/SAN-FRANCISCO-S-M-session-gone-awry-or-2581799.php</t>
  </si>
  <si>
    <t>John D. Palmer</t>
  </si>
  <si>
    <t>Juanita Owens</t>
  </si>
  <si>
    <t>http://www.highbeam.com/doc/1P1-79649395.html</t>
  </si>
  <si>
    <t>Nicholas Gaffney</t>
  </si>
  <si>
    <t>https://www.linkedin.com/in/nickgaffney</t>
  </si>
  <si>
    <t>Richard Hongisto</t>
  </si>
  <si>
    <t>https://www.google.com/url?sa=t&amp;rct=j&amp;q=&amp;esrc=s&amp;source=web&amp;cd=2&amp;cad=rja&amp;uact=8&amp;ved=0CCYQFjABahUKEwjh0KuCsNvGAhUIeD4KHdvHBzg&amp;url=http%3A%2F%2Fwww.sfgate.com%2Fnews%2Farticle%2FRICHARD-HONGISTO-1936-2004-S-F-public-2676500.php&amp;ei=hGWlVeH-JYjw-QHbj5_AAw&amp;usg=AFQjCNESxz3TM1qOnGaqQ90N4GEttq_ABw&amp;sig2=eJB9SIIeqHIlt-qYVcQI4w</t>
  </si>
  <si>
    <t>Rob Anderson</t>
  </si>
  <si>
    <t>Board of Supervisors D6</t>
  </si>
  <si>
    <t>Beryl Magilavy</t>
  </si>
  <si>
    <t>http://www.smartvoter.org/2000/11/07/ca/sf/vote/magilavy_b/bio.html</t>
  </si>
  <si>
    <t>http://www.smartvoter.org/2000/11/07/ca/sf/race/10/</t>
  </si>
  <si>
    <t>Brenton Holland</t>
  </si>
  <si>
    <t>Carol Ruth Silver</t>
  </si>
  <si>
    <t>http://www.sfgate.com/politics/article/Carol-Ruth-Silver-Freedom-Rider-50-years-later-2375118.php</t>
  </si>
  <si>
    <t>Chris M. Dittenhafer</t>
  </si>
  <si>
    <t>https://www.linkedin.com/pub/chris-dittenhafer/10/34a/7ab</t>
  </si>
  <si>
    <t>http://www.smartvoter.org/2000/11/07/ca/sf/vote/danne_d/</t>
  </si>
  <si>
    <t>Gilbert F. Criswell</t>
  </si>
  <si>
    <t>http://www.ebar.com/news/article.php?sec=news&amp;article=816</t>
  </si>
  <si>
    <t>H. Brown</t>
  </si>
  <si>
    <t>http://www.sfbg.com/politics/2014/01/23/h-brown-goodbye-all-we-hope</t>
  </si>
  <si>
    <t>Hank Wilson</t>
  </si>
  <si>
    <t>http://www.sfgate.com/bayarea/article/Hank-Wilson-dies-gay-liberation-activist-3185940.php</t>
  </si>
  <si>
    <t>James Leo Dunn</t>
  </si>
  <si>
    <t>http://www.smartvoter.org/2002/11/05/ca/sf/vote/dunn_j/</t>
  </si>
  <si>
    <t>http://www.smartvoter.org/1999nov/ca/sf/vote/reid_j/bio.html</t>
  </si>
  <si>
    <t>Joan Roughgarden</t>
  </si>
  <si>
    <t>http://ai.eecs.umich.edu/people/conway/TS/JOAN-ROUGHGARDEN-LETTER.html</t>
  </si>
  <si>
    <t>Joseph Blue</t>
  </si>
  <si>
    <t>Mark Salomon</t>
  </si>
  <si>
    <t>http://www.huffingtonpost.com/2013/01/24/chiune-sugihara-japanese--jews-holocaust_n_2528666.html</t>
  </si>
  <si>
    <t>Board of Supervisors D7</t>
  </si>
  <si>
    <t>Bud Wilson</t>
  </si>
  <si>
    <t>http://www.legacy.com/obituaries/sfgate/obituary.aspx?n=elbert-wilson-bud&amp;pid=130437076</t>
  </si>
  <si>
    <t>http://www.smartvoter.org/2000/11/07/ca/sf/race/11/</t>
  </si>
  <si>
    <t>http://www.sfgate.com/politics/article/SAN-FRANCISCO-Mayor-Critic-Rose-Tsai-To-Run-for-3000515.php and http://www.sfgate.com/politics/article/Embattled-S-F-official-Teng-quits-Assessor-2641539.php</t>
  </si>
  <si>
    <t>Maryo Mogannam</t>
  </si>
  <si>
    <t>http://westportalmerchants.com.localon.com/announcement/6790</t>
  </si>
  <si>
    <t>Rennie O'Brien</t>
  </si>
  <si>
    <t>http://www.smartvoter.org/2001/11/06/ca/sf/vote/obrien_r/</t>
  </si>
  <si>
    <t>http://www.sfgate.com/bayarea/article/BOARD-OF-SUPERVISORS-CAMPAIGN-2004-District-7-3311141.php</t>
  </si>
  <si>
    <t>https://www.facebook.com/tonyhallsf/</t>
  </si>
  <si>
    <t>Board of Supervisors D8</t>
  </si>
  <si>
    <t>Eileen Hansen</t>
  </si>
  <si>
    <t>http://www.smartvoter.org/2002/12/10/ca/sf/vote/hansen_e/bio.html</t>
  </si>
  <si>
    <t>Gary Virginia</t>
  </si>
  <si>
    <t>http://sfbaytimes.com/profiles-of-compassion-and-courage-gary-virginia/</t>
  </si>
  <si>
    <t>James Green</t>
  </si>
  <si>
    <t>http://www.ourcampaigns.com/CandidateDetail.html?CandidateID=5382</t>
  </si>
  <si>
    <t>Scott Bingham</t>
  </si>
  <si>
    <t>http://www.smartvoter.org/2002/11/05/ca/sf/vote/ohearn_s/</t>
  </si>
  <si>
    <t>Board of Supervisors D9</t>
  </si>
  <si>
    <t>http://www.ourcampaigns.com/CandidateDetail.html?CandidateID=66752</t>
  </si>
  <si>
    <t>Ron Norlin</t>
  </si>
  <si>
    <t>Valerie Tulier</t>
  </si>
  <si>
    <t>Board of Supervisors D10</t>
  </si>
  <si>
    <t>Don Bertone</t>
  </si>
  <si>
    <t>http://www.sfgate.com/news/article/A-nightmarish-neighbor-noisy-nosy-now-in-jail-2523719.php</t>
  </si>
  <si>
    <t>Dwayne Jusino</t>
  </si>
  <si>
    <t>http://www.smartvoter.org/2006/11/07/ca/sf/vote/jusino_d/bio.html</t>
  </si>
  <si>
    <t>Espanola Jackson</t>
  </si>
  <si>
    <t>African-American</t>
  </si>
  <si>
    <t>Hamp "Bubba" Banks</t>
  </si>
  <si>
    <t>Hubert Yee</t>
  </si>
  <si>
    <t>http://www.nwasianweekly.com/2010/05/commentary-san-francisco%E2%80%99s-%E2%80%98black-on-chinese%E2%80%99-violence-goes-back-decades/</t>
  </si>
  <si>
    <t>Self-identifies</t>
  </si>
  <si>
    <t>http://www.smartvoter.org/1999nov/ca/sf/vote/manuel_j/</t>
  </si>
  <si>
    <t>Jim Rodriguez</t>
  </si>
  <si>
    <t>http://www.smartvoter.org/2002/03/05/ca/sf/vote/rodriguez_j/</t>
  </si>
  <si>
    <t>Photo and surname- see H</t>
  </si>
  <si>
    <t>Larry Shockey</t>
  </si>
  <si>
    <t>http://sanfrancisco.gaycities.com/events/201020-leadership-social-sex-and-celebration-race-bannon-and-larry-shockey</t>
  </si>
  <si>
    <t>Linda Richardson</t>
  </si>
  <si>
    <t>http://www.sanfranciscosentinel.com/?p=13012</t>
  </si>
  <si>
    <t>Marie Harrison</t>
  </si>
  <si>
    <t>https://www.youtube.com/watch?v=athL1rK6oso</t>
  </si>
  <si>
    <t>Robert H. Chan</t>
  </si>
  <si>
    <t>http://www.asianweek.com/2000/07/20/the-api-vote-and-district-elections/</t>
  </si>
  <si>
    <t>Board of Supervisors D11</t>
  </si>
  <si>
    <t>http://www.huffingtonpost.com/dr-amos-c-brown/</t>
  </si>
  <si>
    <t>http://www.smartvoter.org/2000/11/07/ca/sf/vote/sandoval_g/</t>
  </si>
  <si>
    <t>Douglas Moran</t>
  </si>
  <si>
    <t>http://www.paloaltoonline.com/blogs/p/2015/04/17/frustrated-with-arguments-on-the-parcel-tax</t>
  </si>
  <si>
    <t>John Huber</t>
  </si>
  <si>
    <t>http://www.ourcampaigns.com/RaceDetail.html?RaceID=548138</t>
  </si>
  <si>
    <t>Kathleen McConnell</t>
  </si>
  <si>
    <t>Myrna Viray Lim</t>
  </si>
  <si>
    <t>http://www.smartvoter.org/2004/11/02/ca/sf/race/36/</t>
  </si>
  <si>
    <t>Rebecca Reynolds Silverberg</t>
  </si>
  <si>
    <t>Steven R. Currier</t>
  </si>
  <si>
    <t>http://www.ourcampaigns.com/CandidateDetail.html?CandidateID=216588</t>
  </si>
  <si>
    <t>Dennis J. Herrera</t>
  </si>
  <si>
    <t>Jim Lazarus</t>
  </si>
  <si>
    <t>http://www.smartvoter.org/2001/11/06/ca/sf/vote/lazarus_j/</t>
  </si>
  <si>
    <t>Neil Eisenberg</t>
  </si>
  <si>
    <t>http://www.legacy.com/obituaries/sfgate/obituary.aspx?page=lifestory&amp;pid=164935907</t>
  </si>
  <si>
    <t>Steve Williams</t>
  </si>
  <si>
    <t>http://www.smartvoter.org/2001/11/06/ca/sf/vote/williams_s/</t>
  </si>
  <si>
    <t>http://smartvoter.org/1998nov/ca/sf/vote/petroni_c/bio.html</t>
  </si>
  <si>
    <t>http://www.ourcampaigns.com/CandidateDetail.html?CandidateID=111248</t>
  </si>
  <si>
    <t>Lynne Newhouse Segal</t>
  </si>
  <si>
    <t>http://www.smartvoter.org/2002/11/05/ca/sf/vote/segal_l/bio.html</t>
  </si>
  <si>
    <t>Andrew Lee</t>
  </si>
  <si>
    <t>http://www.sfgate.com/news/article/S-F-fundraiser-Julie-Lee-guilty-of-fraud-3277401.php</t>
  </si>
  <si>
    <t>Photo and article- his mother is Asian</t>
  </si>
  <si>
    <t>http://www.sfgate.com/politics/article/The-making-of-a-political-insider-Fund-raising-2701682.php</t>
  </si>
  <si>
    <t>Barry Hermanson</t>
  </si>
  <si>
    <t>http://www.ourcampaigns.com/RaceDetail.html?RaceID=548143</t>
  </si>
  <si>
    <t>http://www.smartvoter.org/2004/03/02/ca/state/vote/hermanson_b/bio.html</t>
  </si>
  <si>
    <t>https://en.wikipedia.org/wiki/Ed_Jew</t>
  </si>
  <si>
    <t>http://www.boe.ca.gov/ma/</t>
  </si>
  <si>
    <t>Krista Spence Loretto</t>
  </si>
  <si>
    <t>http://www.smartvoter.org/2002/11/05/ca/sf/vote/loretto_k/</t>
  </si>
  <si>
    <t>Marks Lam</t>
  </si>
  <si>
    <t>http://www.smartvoter.org/2002/11/05/ca/sf/vote/lam_m/bio.html</t>
  </si>
  <si>
    <t>http://www.smartvoter.org/2002/11/05/ca/sf/race/28/</t>
  </si>
  <si>
    <t>Burke Strunsky</t>
  </si>
  <si>
    <t>http://www.smartvoter.org/2002/11/05/ca/sf/vote/strunsky_b/</t>
  </si>
  <si>
    <t>Garrett Jenkins</t>
  </si>
  <si>
    <t>Malinka Moye</t>
  </si>
  <si>
    <t>http://www.sfgate.com/politics/article/Newsom-hops-into-race-for-S-F-mayor-He-joins-2752205.php</t>
  </si>
  <si>
    <t>Michael A. Sweet</t>
  </si>
  <si>
    <t>http://www.smartvoter.org/2002/11/05/ca/sf/vote/sweet_m/bio.html</t>
  </si>
  <si>
    <t>Robert N. Power</t>
  </si>
  <si>
    <t>https://www.linkedin.com/in/powerrob</t>
  </si>
  <si>
    <t>Roger Gordon</t>
  </si>
  <si>
    <t>http://www.smartvoter.org/2002/11/05/ca/sf/vote/gordon_r/</t>
  </si>
  <si>
    <t>http://www.smartvoter.org/2002/12/10/ca/sf/race/29/</t>
  </si>
  <si>
    <t>http://www.smartvoter.org/2002/11/05/ca/sf/vote/green_j/bio.html</t>
  </si>
  <si>
    <t>Starchild</t>
  </si>
  <si>
    <t>Tom Radulovich</t>
  </si>
  <si>
    <t>http://outhistory.org/exhibits/show/out-and-elected/1996/tom-radulovich</t>
  </si>
  <si>
    <t>http://www.sfgate.com/bayarea/article/Bill-Fazio-s-wife-dies-in-American-Samoa-3248170.php</t>
  </si>
  <si>
    <t>http://www.smartvoter.org/1999dec/ca/sf/vote/hallinan_t/bio.html</t>
  </si>
  <si>
    <t>http://www.sfgate.com/entertainment/article/Angela-Alioto-is-a-devout-rebel-and-San-Franciscan-3165874.php</t>
  </si>
  <si>
    <t>http://www.ourcampaigns.com/CandidateDetail.html?CandidateID=18223</t>
  </si>
  <si>
    <t>https://themattgonzalezreader.wordpress.com/matt-gonzalez-bio/</t>
  </si>
  <si>
    <t>Michael F. Denny</t>
  </si>
  <si>
    <t>http://www.smartvoter.org/2002/03/05/ca/state/vote/denny_m/bio.html</t>
  </si>
  <si>
    <t>Roger E. Schulke</t>
  </si>
  <si>
    <t>http://www.susanleal.com/about</t>
  </si>
  <si>
    <t>Tony Ribera</t>
  </si>
  <si>
    <t>http://www.usfca.edu/Faculty/Management/Anthony_Ribera/</t>
  </si>
  <si>
    <t>Tony Carrasco</t>
  </si>
  <si>
    <t>http://www.studycenter.org/test/cce/issues/29/CCX-29-6-7.pdf</t>
  </si>
  <si>
    <t>David Heller</t>
  </si>
  <si>
    <t>https://www.youtube.com/watch?v=y7UBy9y7kBs</t>
  </si>
  <si>
    <t>http://www.sfgate.com/bayarea/article/Recall-of-Supervisor-Jake-McGoldrick-fails-2538522.php</t>
  </si>
  <si>
    <t>Jeffrey S. Freebairn</t>
  </si>
  <si>
    <t>http://www.demochoice.org/sfballot.php?poll=sfbay.SF04D1</t>
  </si>
  <si>
    <t>Leanna Dawydiak</t>
  </si>
  <si>
    <t>http://www.ourcampaigns.com/CandidateDetail.html?CandidateID=66206</t>
  </si>
  <si>
    <t>Lillian Sing</t>
  </si>
  <si>
    <t>http://www.asianweek.com/2004/10/01/lillian-sing-for-san-francisco-supervisor/</t>
  </si>
  <si>
    <t>http://www.sfrichmondreview.com/archives/richmondreview/2004editions/Oct04/singcol.html</t>
  </si>
  <si>
    <t>Matt Tuchow</t>
  </si>
  <si>
    <t>http://www.smartvoter.org/2004/11/02/ca/sf/vote/tuchow_m/bio.html</t>
  </si>
  <si>
    <t>http://www.sfgate.com/politics/article/SAN-FRANCISCO-Mayor-Critic-Rose-Tsai-To-Run-for-3000515.php and http://www.smartvoter.org/2001/11/06/ca/sf/vote/tsai_r/</t>
  </si>
  <si>
    <t>David Pascal</t>
  </si>
  <si>
    <t>http://www.smartvoter.org/2004/11/02/ca/sf/vote/pascal_d/</t>
  </si>
  <si>
    <t>Jay R. Shah</t>
  </si>
  <si>
    <t>https://groups.yahoo.com/neo/groups/gurmatdiscussions/conversations/topics/13766</t>
  </si>
  <si>
    <t>http://www.smartvoter.org/2003/11/04/ca/sf/vote/schulke_r/</t>
  </si>
  <si>
    <t>Steve Braccini</t>
  </si>
  <si>
    <t>http://www.ourcampaigns.com/CandidateDetail.html?CandidateID=66240</t>
  </si>
  <si>
    <t>http://www.sfbos.org/index.aspx?page=18587</t>
  </si>
  <si>
    <t>Brian Murphy O'Flynn</t>
  </si>
  <si>
    <t>http://www.fogcityjournal.com/news_in_brief/es_crackberry_chronicles_080222.shtml</t>
  </si>
  <si>
    <t>http://www.smartvoter.org/2004/11/02/ca/sf/race/28/</t>
  </si>
  <si>
    <t>Eugene Chi-Ching Wong</t>
  </si>
  <si>
    <t>http://www.smartvoter.org/2004/11/02/ca/sf/vote/wong_e/</t>
  </si>
  <si>
    <t>Sal Busalacchi</t>
  </si>
  <si>
    <t>http://www.fogcityjournal.com/wordpress/582/san-francisco-d3-candidates-jockey-for-position/</t>
  </si>
  <si>
    <t>Andrew Sullivan</t>
  </si>
  <si>
    <t>http://sulli.org/supe.html and https://www.linkedin.com/in/suldrew</t>
  </si>
  <si>
    <t>http://www.sulli.org/aboutme.html</t>
  </si>
  <si>
    <t>Bill Barnes</t>
  </si>
  <si>
    <t>http://quartz.he.net/~beyondch/news/index.php?itemid=1212</t>
  </si>
  <si>
    <t>Brett Wheeler</t>
  </si>
  <si>
    <t>http://www.smartvoter.org/2004/11/02/ca/sf/vote/wheeler_b/</t>
  </si>
  <si>
    <t>http://www.smartvoter.org/2004/11/02/ca/sf/race/29/</t>
  </si>
  <si>
    <t>http://www.smartvoter.org/2004/11/02/ca/sf/vote/kalb_d/</t>
  </si>
  <si>
    <t>Emmett Gilman</t>
  </si>
  <si>
    <t>https://www.linkedin.com/pub/emmett-gilman/51/a02/8a5</t>
  </si>
  <si>
    <t>Francis Somsel</t>
  </si>
  <si>
    <t>http://www.fogcityjournal.com/profiles/profile_francis_somsel.shtml</t>
  </si>
  <si>
    <t>Jim Siegel</t>
  </si>
  <si>
    <t>http://www.smartvoter.org/2004/11/02/ca/sf/vote/siegel_j/</t>
  </si>
  <si>
    <t>http://www.smartvoter.org/2004/11/02/ca/sf/vote/blue_j/</t>
  </si>
  <si>
    <t>Julian Davis</t>
  </si>
  <si>
    <t>Lisa Feldstein</t>
  </si>
  <si>
    <t>http://www.beyondchron.org/lisa-feldstein-broad-experience-meets-community-focus/</t>
  </si>
  <si>
    <t>Michael E. O'Connor</t>
  </si>
  <si>
    <t>http://www.smartvoter.org/2004/11/02/ca/sf/vote/oconnor_m/</t>
  </si>
  <si>
    <t>Nick Waugh</t>
  </si>
  <si>
    <t>http://www.ourcampaigns.com/CandidateDetail.html?CandidateID=66740</t>
  </si>
  <si>
    <t>Patrick M. Ciocca</t>
  </si>
  <si>
    <t>http://www.avvo.com/attorneys/94928-ca-patrick-ciocca-62484.html</t>
  </si>
  <si>
    <t>Phillip House</t>
  </si>
  <si>
    <t>Phoenix Streets</t>
  </si>
  <si>
    <t>Robert Haaland</t>
  </si>
  <si>
    <t>http://quartz.he.net/~beyondch/news/index.php?itemid=2215</t>
  </si>
  <si>
    <t>Ross Mirkarimi</t>
  </si>
  <si>
    <t>Susan C. King</t>
  </si>
  <si>
    <t>http://www.sfbg.com/2014/07/22/king-commons</t>
  </si>
  <si>
    <t>Tys Sniffen</t>
  </si>
  <si>
    <t>http://www.sfgate.com/bayarea/article/BOARD-OF-SUPERVISORS-CAMPAIGN-2004-District-5-2688941.php and https://www.linkedin.com/in/tys-sniffen-9726b</t>
  </si>
  <si>
    <t>Vivian Wilder</t>
  </si>
  <si>
    <t>Art Belenson</t>
  </si>
  <si>
    <t>http://www.asianweek.com/2004/10/29/wang-belenson-symbolize-huge-mayoral-stakes/</t>
  </si>
  <si>
    <t>Christine Linnenbach</t>
  </si>
  <si>
    <t>http://www.smartvoter.org/2004/11/02/ca/sf/vote/linnenbach_c/</t>
  </si>
  <si>
    <t>David Parker</t>
  </si>
  <si>
    <t>Gregory Corrales</t>
  </si>
  <si>
    <t>http://archives.sfexaminer.com/sanfrancisco/greg-corrales-hard-charging-legendary-cop-who-saw-sf-transformed-retires/Content?oid=2822296</t>
  </si>
  <si>
    <t>Isaac Wang</t>
  </si>
  <si>
    <t>http://www.smartvoter.org/2004/11/02/ca/sf/vote/wang_i/</t>
  </si>
  <si>
    <t>Michael Patrick Mallen</t>
  </si>
  <si>
    <t>Milton "Rennie" O'Brien</t>
  </si>
  <si>
    <t>Pat Lakey</t>
  </si>
  <si>
    <t>http://www.smartvoter.org/2004/11/02/ca/sf/vote/lakey_p/</t>
  </si>
  <si>
    <t>Sean R. Elsbernd</t>
  </si>
  <si>
    <t>Shawn Reifsteck</t>
  </si>
  <si>
    <t>http://www.smartvoter.org/2004/11/02/ca/sf/vote/reifsteck_s/bio.html</t>
  </si>
  <si>
    <t>Sheela Kini</t>
  </si>
  <si>
    <t>http://www.nriinternet.com/Section3Who/WhoUSA/PoliticiansUSA/Election_Nov2004/2_17NRIs_in_Polling.htm</t>
  </si>
  <si>
    <t>Svetlana Kaff</t>
  </si>
  <si>
    <t>Vernon C. Grigg III</t>
  </si>
  <si>
    <t>S.F. Housing Authority Commission</t>
  </si>
  <si>
    <t>Adam Cabot</t>
  </si>
  <si>
    <t>James Boris Perez</t>
  </si>
  <si>
    <t>http://www.smartvoter.org/2004/11/02/ca/sf/vote/bermudez_l/philosophy.html and http://www.ourcampaigns.com/CandidateDetail.html?CandidateID=66753</t>
  </si>
  <si>
    <t>Photo and political statements</t>
  </si>
  <si>
    <t>Miguel Bustos</t>
  </si>
  <si>
    <t>http://www.hiponline.org/archives/178-the-give-miguel-bustos</t>
  </si>
  <si>
    <t>Renee Saucedo</t>
  </si>
  <si>
    <t>http://www.beyondchron.org/renee-saucedo-district-9s-green-party-candidate-puts-community-first/</t>
  </si>
  <si>
    <t>http://www.keywiki.org/Renee_Saucedo</t>
  </si>
  <si>
    <t>Steve Zeltzer</t>
  </si>
  <si>
    <t>http://webshells.com/commissioner/stevefor9/index.htm</t>
  </si>
  <si>
    <t>http://www.beyondchron.org/steve-zeltzer-district-9s-labor-candidate/</t>
  </si>
  <si>
    <t>http://www.tomammiano.com/about.html</t>
  </si>
  <si>
    <t>Anita Grier</t>
  </si>
  <si>
    <t>http://www.asianpacificdemocraticclub.org/endorsements/nov-4th-election-endorsements</t>
  </si>
  <si>
    <t>http://www.smartvoter.org/2004/11/02/ca/sf/vote/grier_a/</t>
  </si>
  <si>
    <t>Fil M. Silverio</t>
  </si>
  <si>
    <t>http://www.sfbos.org/index.aspx?page=3040</t>
  </si>
  <si>
    <t>http://www.smartvoter.org/2004/11/02/ca/sf/vote/medina_j/bio.html</t>
  </si>
  <si>
    <t>http://www.smartvoter.org/2000/11/07/ca/sf/vote/silverberg_r/</t>
  </si>
  <si>
    <t>Rolando A. Bonilla</t>
  </si>
  <si>
    <t>Undetermined- suspect Latino</t>
  </si>
  <si>
    <t>http://electionsinfo.net/candidates.php?CandidateID=69355 and https://www.linkedin.com/in/rolando-bonilla-87a83b29</t>
  </si>
  <si>
    <t>https://www.linkedin.com/in/rolando-bonilla-87a83b29</t>
  </si>
  <si>
    <t>Tom Yuen</t>
  </si>
  <si>
    <t>Undetermined- suspect Asian</t>
  </si>
  <si>
    <t>http://www.asianweek.com/2000/09/28/demo-influence-slipping-on-splits/</t>
  </si>
  <si>
    <t>Calvin Louie</t>
  </si>
  <si>
    <t>http://www.sfgate.com/politics/article/CITIZEN-CANDIDATE-Calvin-Y-Louie-Low-key-2554840.php</t>
  </si>
  <si>
    <t>http://www.smartvoter.org/2005/11/08/ca/sf/vote/wang_i/bio.html</t>
  </si>
  <si>
    <t>Manuel B. Valle</t>
  </si>
  <si>
    <t>www.asianweek.com/2005/11/04/running-city’s-piggy-bank/</t>
  </si>
  <si>
    <t>http://www.beyondchron.org/the-strange-career-of-michela-alioto-pier/</t>
  </si>
  <si>
    <t>Vilma B. Guinto Peoro</t>
  </si>
  <si>
    <t>David Ferguson</t>
  </si>
  <si>
    <t>Doug Chan</t>
  </si>
  <si>
    <t>http://www.ebar.com/news/article.php?sec=news&amp;article=1167</t>
  </si>
  <si>
    <t>http://sfgov.org/civilservice/commissioners</t>
  </si>
  <si>
    <t>http://www.sfgate.com/crime/article/Former-S-F-Supervisor-Ed-Jew-loses-bid-to-stay-5338785.php</t>
  </si>
  <si>
    <t>Houston Zheng</t>
  </si>
  <si>
    <t>Jaynry Mak</t>
  </si>
  <si>
    <t>http://www.sfweekly.com/thesnitch/2013/11/20/jaynry-mak-young-former-sf-politico-ordered-to-stay-away-from-her-kids</t>
  </si>
  <si>
    <t>http://www.smartvoter.org/2010/06/08/ca/sf/vote/mak_j/bio.html</t>
  </si>
  <si>
    <t>Davy Jones</t>
  </si>
  <si>
    <t>http://www.studycenter.org/test/cce/issues/61/ccx.61F-p4&amp;5.pdf</t>
  </si>
  <si>
    <t>George Dias</t>
  </si>
  <si>
    <t>http://www.smartvoter.org/2006/11/07/ca/sf/race/4/</t>
  </si>
  <si>
    <t>Manuel Jimenez, Jr.</t>
  </si>
  <si>
    <t>http://district6supervisor.blogspot.com/</t>
  </si>
  <si>
    <t>Matt Drake</t>
  </si>
  <si>
    <t>http://www.smartvoter.org/2006/11/07/ca/sf/vote/drake_m/</t>
  </si>
  <si>
    <t>Rob Black</t>
  </si>
  <si>
    <t>http://www.smartvoter.org/2006/11/07/ca/sf/vote/black_r/bio.html</t>
  </si>
  <si>
    <t>Robert Jordan</t>
  </si>
  <si>
    <t>Viliam Dugovic</t>
  </si>
  <si>
    <t>http://ebar.com/news/article.php?sec=news&amp;article=1103</t>
  </si>
  <si>
    <t>Alix Amelia Rosenthal</t>
  </si>
  <si>
    <t>http://www.smartvoter.org/2006/11/07/ca/sf/vote/rosenthal_a/bio.html</t>
  </si>
  <si>
    <t>http://sfist.com/2010/03/04/bisexual_sex_worker_starchild_runni.php</t>
  </si>
  <si>
    <t>Charlie Walker</t>
  </si>
  <si>
    <t>http://beforeitsnews.com/african-american-news/2015/06/the-san-francisco-black-film-festival-enriched-thousands-of-moviegoers-left-them-eager-for-more-2454500.html</t>
  </si>
  <si>
    <t>http://www.smartvoter.org/2006/11/07/ca/sf/race/6/</t>
  </si>
  <si>
    <t>http://www.votejusino.com/Spanish.html</t>
  </si>
  <si>
    <t>Website- self identifies</t>
  </si>
  <si>
    <t>http://www.modernluxury.com/san-francisco/story/what-happened-black-san-francisco</t>
  </si>
  <si>
    <t>Marie L. Harrison</t>
  </si>
  <si>
    <t>http://www.ourcampaigns.com/CandidateDetail.html?CandidateID=131869</t>
  </si>
  <si>
    <t>Rodney Hampton, Jr.</t>
  </si>
  <si>
    <t>https://www.google.com/url?sa=t&amp;rct=j&amp;q=&amp;esrc=s&amp;source=web&amp;cd=12&amp;cad=rja&amp;uact=8&amp;ved=0CCIQFjABOApqFQoTCJWs_b_82MYCFUtsPgodHcAJ0g&amp;url=http%3A%2F%2Fwww.modernluxury.com%2Fsan-francisco%2Fstory%2Fwhat-happened-black-san-francisco&amp;ei=DyOkVdXoLsvY-QGdgKeQDQ&amp;usg=AFQjCNHn0kqBgds5ltbPLbKg_Kd7MORPFQ&amp;sig2=yIs8O7BwjbVdRraMWdi2fQ</t>
  </si>
  <si>
    <t>Sala Chandler</t>
  </si>
  <si>
    <t>could not find confirmation that she ran</t>
  </si>
  <si>
    <t>http://www.sfbos.org/index.aspx?page=1617</t>
  </si>
  <si>
    <t>Ahimsa Sumchai</t>
  </si>
  <si>
    <t>http://www.indybay.org/newsitems/2007/07/25/18437193.php</t>
  </si>
  <si>
    <t>Website- see H</t>
  </si>
  <si>
    <t>Chicken John</t>
  </si>
  <si>
    <t>http://chickenjohn.com/mayor/index.html</t>
  </si>
  <si>
    <t>George Davis</t>
  </si>
  <si>
    <t>https://supervisorgeorgedavis.wordpress.com/</t>
  </si>
  <si>
    <t>Grasshopper Kaplan</t>
  </si>
  <si>
    <t>http://www.fogcityjournal.com/news_in_brief/lt_grasshopper_re-arrested_070912.shtml</t>
  </si>
  <si>
    <t>Harold Brown</t>
  </si>
  <si>
    <t>Harold Hoogaisian</t>
  </si>
  <si>
    <t>Josh Wolf</t>
  </si>
  <si>
    <t>http://sfpublicpress.org/members/josh-wolf and http://web.archive.org/web/20070930023737/http://cbs5.com/localwire/localfsnews/bcn/2007/07/05/n/HeadlineNews/MAYOR-WOLF/resources_bcn_html</t>
  </si>
  <si>
    <t>Lonnie Holmes</t>
  </si>
  <si>
    <t>http://www.smartvoter.org/2007/11/06/ca/sf/vote/holmes_l/bio.html</t>
  </si>
  <si>
    <t>Michael Powers</t>
  </si>
  <si>
    <t>http://www.ebar.com/news/article.php?sec=news&amp;article=2332</t>
  </si>
  <si>
    <t>Quintin Mecke</t>
  </si>
  <si>
    <t>http://www.smartvoter.org/2007/11/06/ca/sf/vote/mecke_q/bio.html</t>
  </si>
  <si>
    <t>Wilma Pang</t>
  </si>
  <si>
    <t>http://www.nytimes.com/2007/02/02/us/02newsom.html</t>
  </si>
  <si>
    <t>David Wong</t>
  </si>
  <si>
    <t>http://www.sfgate.com/news/article/SF-Sheriff-Michael-Hennessey-looks-back-on-career-2411494.php</t>
  </si>
  <si>
    <t>http://thehill.com/blogs/ballot-box/senate-races/260946-eyebrows-rise-in-california-as-kamala-harris-makes-changes-to</t>
  </si>
  <si>
    <t>Article- quotes someone that identifies her as such</t>
  </si>
  <si>
    <t>Alicia Wang</t>
  </si>
  <si>
    <t>http://www.smartvoter.org/2008/11/04/ca/sf/vote/wang_a/bio.html</t>
  </si>
  <si>
    <t>Photo and she works very closely with organizations that promote the increase fo Asian American representation</t>
  </si>
  <si>
    <t>Brian J. Larkin</t>
  </si>
  <si>
    <t>https://www.linkedin.com/pub/brian-j-larkin/5/aab/722</t>
  </si>
  <si>
    <t>Fidel Chrys Gakuba</t>
  </si>
  <si>
    <t>http://blog.sfgate.com/cityinsider/2008/10/21/talking-the-talk/ and https://www.youtube.com/watch?v=RUdQWj5HrjY</t>
  </si>
  <si>
    <t>George Flamik</t>
  </si>
  <si>
    <t>http://www.nytimes.com/2010/07/25/us/25bcintel.html?_r=0</t>
  </si>
  <si>
    <t>Jason Jungreis</t>
  </si>
  <si>
    <t>http://www.jungreislaw.com/</t>
  </si>
  <si>
    <t>Nicholas C. Belloni</t>
  </si>
  <si>
    <t>https://www.youtube.com/watch?v=61S8L90M2w4</t>
  </si>
  <si>
    <t>Sherman R. D'Silva</t>
  </si>
  <si>
    <t>Sue Lee</t>
  </si>
  <si>
    <t>http://www.asianweek.com/2008/07/30/sue-lee-tells-supes-to-play-nice/</t>
  </si>
  <si>
    <t>Her profile is done on an Asian American site</t>
  </si>
  <si>
    <t>Claudine Cheng</t>
  </si>
  <si>
    <t>Denise McCarthy</t>
  </si>
  <si>
    <t>Joseph Alioto, Jr.</t>
  </si>
  <si>
    <t>Lynn Jefferson</t>
  </si>
  <si>
    <t>Mark Quessey</t>
  </si>
  <si>
    <t>Mike Denunzio</t>
  </si>
  <si>
    <t>Tony Gantner</t>
  </si>
  <si>
    <t>Dave Ferguson</t>
  </si>
  <si>
    <t>http://www.sfgate.com/politics/article/CAMPAIGN-2006-6-candidates-for-supervisor-in-2489028.php</t>
  </si>
  <si>
    <t>http://threeparadigms.com/author.html</t>
  </si>
  <si>
    <t>Owen P. O'Donnell</t>
  </si>
  <si>
    <t>http://sfcitizen.com/blog/tag/owen-odonnell/</t>
  </si>
  <si>
    <t>https://www.baycitizen.org/news/transportation/sf-bike-lanes-await-final-decision/</t>
  </si>
  <si>
    <t>Billy Bob Whitmer</t>
  </si>
  <si>
    <t>https://www.youtube.com/watch?v=2DwomSYG-Kc</t>
  </si>
  <si>
    <t>Julian P. Lagos</t>
  </si>
  <si>
    <t>https://www.youtube.com/watch?v=favR_BjqU4w</t>
  </si>
  <si>
    <t>http://www.sfbos.org/index.aspx?page=1971</t>
  </si>
  <si>
    <t>Eric Quezada</t>
  </si>
  <si>
    <t>http://missionlocal.org/2011/08/eric-quezada-longtime-mission-community-organizer-dies/</t>
  </si>
  <si>
    <t>Eric Storey</t>
  </si>
  <si>
    <t>http://www.smartvoter.org/2008/11/04/ca/sf/vote/storey_e/</t>
  </si>
  <si>
    <t>Eva Royale</t>
  </si>
  <si>
    <t>http://winaction.org/events/CTA_BIOS_8-07-05.htm and http://missionlocal.org/2015/11/displaced-from-the-mission-meet-a-resident-who-refuses-to-let-go-of-her-old-neighborhood-kalw/</t>
  </si>
  <si>
    <t>Mark Sanchez</t>
  </si>
  <si>
    <t>http://ebar.com/news/article.php?sec=news&amp;article=3380</t>
  </si>
  <si>
    <t>Tom Valtin</t>
  </si>
  <si>
    <t>https://www.youtube.com/watch?v=Ar4EuC4zwaU&amp;list=FLKj-fUu2hLuRtNmx0PGdFkw</t>
  </si>
  <si>
    <t>Vern Mathews</t>
  </si>
  <si>
    <t>https://www.youtube.com/watch?v=HkSR_9jv8T4</t>
  </si>
  <si>
    <t>Ahsha Safai</t>
  </si>
  <si>
    <t>http://www.iranianamericanpac.org/ahsha-safai.aspx</t>
  </si>
  <si>
    <t>Eli M. Horn</t>
  </si>
  <si>
    <t>Julio Ramos</t>
  </si>
  <si>
    <t>http://san-francisco.attorneydirectorydb.org/attorneys/law-office-of-julio-ramos and http://www.beyondchron.org/battle-lines-emerging-in-san-francisco-supervisor-races/</t>
  </si>
  <si>
    <t>Mary Goodnature</t>
  </si>
  <si>
    <t>https://www.google.com/url?sa=t&amp;rct=j&amp;q=&amp;esrc=s&amp;source=web&amp;cd=2&amp;cad=rja&amp;uact=8&amp;ved=0CCEQtwIwAWoVChMI04TR6urYxgIVg8o-Ch3E3weX&amp;url=http%3A%2F%2Fwww.youtube.com%2Fwatch%3Fv%3D2aguY4my1Yw&amp;ei=iRCkVZOcF4OV-wHEv5-4CQ&amp;usg=AFQjCNFTmnluWp6aMw18HAeIpiKl5dWzgA&amp;sig2=nFm7MunxO1RI_tggZ0xQVA</t>
  </si>
  <si>
    <t>Myrna Lim</t>
  </si>
  <si>
    <t>https://www.youtube.com/watch?v=uhYL42FDtb8</t>
  </si>
  <si>
    <t>Randy Knox</t>
  </si>
  <si>
    <t>Undetermined- suspect multiracial</t>
  </si>
  <si>
    <t>http://legalpad.typepad.com/my_weblog/2008/04/knox-to-run-for.html and http://www.randallknoxlaw.com/</t>
  </si>
  <si>
    <t>A. Jackson Matteson</t>
  </si>
  <si>
    <t>http://www.smartvoter.org/2008/11/04/ca/sf/vote/matteson_a/bio.html</t>
  </si>
  <si>
    <t>http://www.asianweek.com/2008/09/10/are-you-a-capitalist-communist-or-socialist/</t>
  </si>
  <si>
    <t>Barbara Berwick</t>
  </si>
  <si>
    <t>http://www.reuters.com/article/2015/06/18/us-uber-california-lawsuit-idUSKBN0OY03O20150618</t>
  </si>
  <si>
    <t>Janet Reilly</t>
  </si>
  <si>
    <t>http://janetreilly.com/</t>
  </si>
  <si>
    <t>Kat Anderson</t>
  </si>
  <si>
    <t>http://sfcitizen.com/blog/tag/kat-anderson/</t>
  </si>
  <si>
    <t>http://www.filipino-adoptees-network.org/?p=664</t>
  </si>
  <si>
    <t>Her information is archived on the Filipino Adoptee Network</t>
  </si>
  <si>
    <t>Abraham Simmons</t>
  </si>
  <si>
    <t>http://sfappeal.com/2010/10/your-guide-to-the-guides-everyone-elses-endorsements-of-the-sf-candidates/ and https://www.youtube.com/watch?v=74z2MLNL76c</t>
  </si>
  <si>
    <t>http://www.sfbos.org/index.aspx?page=2067</t>
  </si>
  <si>
    <t>Dean Clark</t>
  </si>
  <si>
    <t>https://www.linkedin.com/in/deanclarksf</t>
  </si>
  <si>
    <t>Debra Walker</t>
  </si>
  <si>
    <t>https://www.youtube.com/watch?v=sMlWKwFNmaI</t>
  </si>
  <si>
    <t>Elaine Zamora</t>
  </si>
  <si>
    <t>http://www.beyondchron.org/bay-guardian-endorsements-ignore-progressive-diversity/</t>
  </si>
  <si>
    <t>Fortunate "Nate" Payne</t>
  </si>
  <si>
    <t>http://www.livesoma.com/2010/09/29/who-the-hell-is-nate-payne/</t>
  </si>
  <si>
    <t>https://supervisorgeorgedavis.wordpress.com/ and http://www.people.com/article/george-davis-nude-san-francisco-candidate</t>
  </si>
  <si>
    <t>George Vazhappally</t>
  </si>
  <si>
    <t>http://www.smartvoter.org/2010/11/02/ca/sf/vote/vazhappally_g/bio.html</t>
  </si>
  <si>
    <t>Glendon "Anna Conda" Hyde</t>
  </si>
  <si>
    <t>http://www.beyondchron.org/interview-with-glendon-anna-conda-hyde/</t>
  </si>
  <si>
    <t>James Keys</t>
  </si>
  <si>
    <t>http://sfbayview.com/2010/10/elect-james-keys-district-6-supervisor-in-san-francisco/</t>
  </si>
  <si>
    <t>Wrote his own profile piece for a "national black" newspaper</t>
  </si>
  <si>
    <t>http://www.sfbos.org/index.aspx?page=11324</t>
  </si>
  <si>
    <t>Jim Meko</t>
  </si>
  <si>
    <t>http://www.examiner.com/article/a-community-hero-jim-meko-san-francisco</t>
  </si>
  <si>
    <t>Matt Ashe</t>
  </si>
  <si>
    <t>http://www.smartvoter.org/2010/11/02/ca/sf/race/03/</t>
  </si>
  <si>
    <t>http://www.smartvoter.org/2010/11/02/ca/sf/vote/drake_m/</t>
  </si>
  <si>
    <t>Theresa Sparks</t>
  </si>
  <si>
    <t>http://www.npr.org/templates/story/story.php?storyId=130703278</t>
  </si>
  <si>
    <t>Bill Hemenger</t>
  </si>
  <si>
    <t>http://ebar.com/blogs/d8-supervisor-candidate-bill-hemenger-spins-lack-of-endorsements-opens-noe-valley-office/</t>
  </si>
  <si>
    <t>Rafael Mandelman</t>
  </si>
  <si>
    <t>https://www.ccsf.edu/en/about-city-college/board-of-trustees/rafaelmandelman.html</t>
  </si>
  <si>
    <t>Rebecca Prozan</t>
  </si>
  <si>
    <t>http://www.rebeccaprozan.com/about</t>
  </si>
  <si>
    <t>Ashley H. Rhodes</t>
  </si>
  <si>
    <t>Chris Jackson</t>
  </si>
  <si>
    <t>http://www.sfbg.com/politics/2010/05/11/chris-jackson-leaps-district-10-race</t>
  </si>
  <si>
    <t>Dewitt M. Lacy</t>
  </si>
  <si>
    <t>http://sfbayview.com/2010/11/win-our-fair-share-with-dewitt-lacy-supervisor-district-10/</t>
  </si>
  <si>
    <t>Photo- his profile is done by a "national black" newspaper</t>
  </si>
  <si>
    <t>Diane Wesley Smith</t>
  </si>
  <si>
    <t>http://www.smartvoter.org/2010/11/02/ca/sf/vote/smith_d/</t>
  </si>
  <si>
    <t>Ed Donaldson</t>
  </si>
  <si>
    <t>https://www.facebook.com/Ed-Donaldson-for-District-10-Supervisor-320895614729402/</t>
  </si>
  <si>
    <t>Ellsworth "Ell" Jennison</t>
  </si>
  <si>
    <t>Eric Smith</t>
  </si>
  <si>
    <t>http://www.smartvoter.org/2010/11/02/ca/sf/vote/smith_e/</t>
  </si>
  <si>
    <t>Geoffrea Morris</t>
  </si>
  <si>
    <t>http://www.smartvoter.org/2010/11/02/ca/sf/vote/morris_g/</t>
  </si>
  <si>
    <t>Jackie Norman</t>
  </si>
  <si>
    <t>https://sites.google.com/a/jackieforsupervisor.org/www/home</t>
  </si>
  <si>
    <t>James M. Calloway</t>
  </si>
  <si>
    <t>https://www.facebook.com/DrJamesCalloway/info?tab=page_info</t>
  </si>
  <si>
    <t>Kristine Enea</t>
  </si>
  <si>
    <t>http://www.smartvoter.org/2010/11/02/ca/sf/vote/enea_k/</t>
  </si>
  <si>
    <t>Lynette Sweet</t>
  </si>
  <si>
    <t>http://www.smartvoter.org/2010/11/02/ca/sf/vote/sweet_l/</t>
  </si>
  <si>
    <t>M.J. Marie Franklin</t>
  </si>
  <si>
    <t>https://www.youtube.com/watch?v=IvpTaBCxunc</t>
  </si>
  <si>
    <t>Marlene Tran</t>
  </si>
  <si>
    <t>Nyese Joshua</t>
  </si>
  <si>
    <t>http://sfbayview.com/2010/09/where-has-the-love-of-san-francisco-gone/</t>
  </si>
  <si>
    <t>Her article is written for the "national black newspaper"- self- described</t>
  </si>
  <si>
    <t>http://www.smartvoter.org/2006/11/07/ca/sf/vote/hampton_r/bio.html and http://sfbayview.com/2013/07/inner-city-youth-adventures-juneteenth-in-the-fillmore-whops-neighborhood-connect-in-gilman-park/</t>
  </si>
  <si>
    <t>He is cited as attending an "African American" gathering</t>
  </si>
  <si>
    <t>Stephen Weber</t>
  </si>
  <si>
    <t>Steve Moss</t>
  </si>
  <si>
    <t>http://www.smartvoter.org/2010/11/02/ca/sf/vote/moss_s/</t>
  </si>
  <si>
    <t>Teresa Duque</t>
  </si>
  <si>
    <t>http://www.smartvoter.org/2010/11/02/ca/sf/vote/duque_t/</t>
  </si>
  <si>
    <t>Tony Kelly</t>
  </si>
  <si>
    <t>Chris Cunnie</t>
  </si>
  <si>
    <t>http://www.sfgate.com/opinion/editorials/article/SF-sheriff-s-candidate-Chris-Cunnie-is-best-choice-2309728.php</t>
  </si>
  <si>
    <t>http://www.sfweekly.com/thesnitch/2011/06/22/deputy-david-wong-candidate-for-sheriff-gets-fired</t>
  </si>
  <si>
    <t>Paul Miyamoto</t>
  </si>
  <si>
    <t>http://paulmiyamoto.com/sanfranciscofamily/</t>
  </si>
  <si>
    <t>Website- He is quoted</t>
  </si>
  <si>
    <t>https://en.wikipedia.org/wiki/Ross_Mirkarimi</t>
  </si>
  <si>
    <t>David Onek</t>
  </si>
  <si>
    <t>https://www.law.berkeley.edu/php-programs/faculty/facultyProfile.php?facID=7079</t>
  </si>
  <si>
    <t>http://www.sfdistrictattorney.org/biography</t>
  </si>
  <si>
    <t>Sharmin Bock</t>
  </si>
  <si>
    <t>http://www.sfbar.org/plebiscite/da-statements/bock.aspx</t>
  </si>
  <si>
    <t>Vo Vuong Trinh</t>
  </si>
  <si>
    <t>http://www.smartvoter.org/2011/11/08/ca/sf/vote/trinh_v/</t>
  </si>
  <si>
    <t>https://www.popuparchive.com/collections/2064/items/15579</t>
  </si>
  <si>
    <t>Emil Lawrence</t>
  </si>
  <si>
    <t>http://www.sfweekly.com/sanfrancisco/local-politics-night-cabbie-emil-lawrence-runs-for-mayor/Content?oid=2183048</t>
  </si>
  <si>
    <t>http://sfpublicdefender.org/about/jeff-adachi/</t>
  </si>
  <si>
    <t>Photo and his information is archived in the "who's who of Asian Americans"</t>
  </si>
  <si>
    <t>Joanna Rees</t>
  </si>
  <si>
    <t>http://www.sfgate.com/bayarea/article/Joanna-Rees-running-riding-for-SF-mayor-s-office-2333316.php</t>
  </si>
  <si>
    <t>Paul Currier</t>
  </si>
  <si>
    <t>https://www.baycitizen.org/profile/paul-currier/</t>
  </si>
  <si>
    <t>http://asmdc.org/members/a19/about/biography</t>
  </si>
  <si>
    <t>Terry Joan Baum</t>
  </si>
  <si>
    <t>http://www.sfgreenparty.org/10-campaigns/6-green-party-endorses-terry-joan-baum-for-mayor</t>
  </si>
  <si>
    <t>https://ballotpedia.org/Wilma_Pang#Biography and and http://www.sfchronicle.com/bayarea/article/District-3-Longshot-Wilma-Pang-hopes-to-make-an-6557350.php</t>
  </si>
  <si>
    <t>https://twitter.com/bevandufty</t>
  </si>
  <si>
    <t>http://www.sfmayor.org/</t>
  </si>
  <si>
    <t>https://web.archive.org/web/20101026080447/http://asianamerican.net/bios/Yee-Leland.html and http://www.wsj.com/news/articles/SB10001424052748704156304576003860604013634</t>
  </si>
  <si>
    <t>http://www.sfbos.org/index.aspx?page=1952</t>
  </si>
  <si>
    <t>David E. Lee</t>
  </si>
  <si>
    <t>http://www.smartvoter.org/2012/11/06/ca/sf/vote/lee_d/bio.html</t>
  </si>
  <si>
    <t>http://richmondsfblog.com/2012/10/17/notes-from-the-district-1-supervisor-debate/</t>
  </si>
  <si>
    <t>http://www.sfbos.org/index.aspx?page=2083</t>
  </si>
  <si>
    <t>F. Joseph Butler</t>
  </si>
  <si>
    <t>http://www.smartvoter.org/2012/11/06/ca/sf/vote/butler_f/</t>
  </si>
  <si>
    <t>Marc Bruno</t>
  </si>
  <si>
    <t>https://www.facebook.com/MarcAnthonyBruno/info?tab=page_info</t>
  </si>
  <si>
    <t>http://www.sfgate.com/politics/article/Board-of-Supervisors-Candidate-Questionnaire-3957310.php</t>
  </si>
  <si>
    <t>http://archives.sfexaminer.com/sanfrancisco/david-chiu-retains-presidency-of-board-of-supervisors-for-third-term/Content?oid=2319628</t>
  </si>
  <si>
    <t>Andrew "Ellard" Resignato</t>
  </si>
  <si>
    <t>http://www.sfgate.com/politics/article/Board-of-Supervisors-Candidate-Questionnaire-3957301.php</t>
  </si>
  <si>
    <t>Daniel Everett</t>
  </si>
  <si>
    <t>http://www.sfgate.com/politics/article/Board-of-Supervisors-Candidate-Questionnaire-3953974.php</t>
  </si>
  <si>
    <t>Hope Johnson</t>
  </si>
  <si>
    <t>http://www.smartvoter.org/2012/11/06/ca/sf/vote/johnson_h/bio.html</t>
  </si>
  <si>
    <t>John Rizzo</t>
  </si>
  <si>
    <t>https://www.facebook.com/pages/John-Rizzo/88306829546?sk=info&amp;tab=page_info</t>
  </si>
  <si>
    <t>http://www.sfbos.org/index.aspx?page=13826</t>
  </si>
  <si>
    <t>Thea Selby</t>
  </si>
  <si>
    <t>https://www.ccsf.edu/en/about-city-college/board-of-trustees/theaselby.html</t>
  </si>
  <si>
    <t>Christina Olague</t>
  </si>
  <si>
    <t>http://www.sfgate.com/news/article/Lee-appoints-Christina-Olague-as-new-S-F-2451286.php</t>
  </si>
  <si>
    <t>Andrew Bley</t>
  </si>
  <si>
    <t>Francis Xavier Crowley</t>
  </si>
  <si>
    <t>http://www.fxcrowley.com/about-us/</t>
  </si>
  <si>
    <t>Glenn Rogers</t>
  </si>
  <si>
    <t>http://www.sfgate.com/elections/article/Board-of-Supervisors-Candidate-Questionnaire-3964868.php</t>
  </si>
  <si>
    <t>Joel Engardio</t>
  </si>
  <si>
    <t>http://www.engardio.com/#/about/</t>
  </si>
  <si>
    <t>Lynn Gavin</t>
  </si>
  <si>
    <t>http://ebar.com/news/article.php?sec=news&amp;article=68030</t>
  </si>
  <si>
    <t>Michael Garcia</t>
  </si>
  <si>
    <t>http://www.sfbos.org/index.aspx?page=13827</t>
  </si>
  <si>
    <t>Bud Ryerson</t>
  </si>
  <si>
    <t>http://blog.sfgate.com/cityinsider/2012/10/31/david-campos-finally-has-a-challenger-in-the-district-9-supe-race/</t>
  </si>
  <si>
    <t>Write in candidate</t>
  </si>
  <si>
    <t>http://www.sfbos.org/index.aspx?page=2117</t>
  </si>
  <si>
    <t>http://www.sfbos.org/index.aspx?page=2130</t>
  </si>
  <si>
    <t>http://www.sfgate.com/news/article/Same-sex-marriage-fight-pits-unlikely-advocate-2627899.php</t>
  </si>
  <si>
    <t>Surname and photo- see H</t>
  </si>
  <si>
    <t>https://www.cacities.org/Top/News/News-Articles/2013/September/San-Francisco-Treasurer-Jose-Cisneros-Elected-Leag and http://sfofe.org/people</t>
  </si>
  <si>
    <t>Ivan Seredni</t>
  </si>
  <si>
    <t>http://www.connect6.com/Ivan-Seredni/p/217114039123038194184092234081240093002043227198112189048194062065150158067098250194060051037146179114051047205093154049178225096110065149062138 and http://www.ebar.com/news/article.php?sec=news&amp;article=69088</t>
  </si>
  <si>
    <t>Michael Murphy</t>
  </si>
  <si>
    <t>https://murphy4supe.wordpress.com/about/</t>
  </si>
  <si>
    <t>Juan-Antonio Carballo</t>
  </si>
  <si>
    <t>Spanish** (country of birth)</t>
  </si>
  <si>
    <t>http://ballotpedia.org/Juan-Antonio_Carballo</t>
  </si>
  <si>
    <t>http://www.sfbos.org/index.aspx?page=11323</t>
  </si>
  <si>
    <t>http://www.sfbos.org/index.aspx?page=13999</t>
  </si>
  <si>
    <t>David Carlos Salaverry</t>
  </si>
  <si>
    <t>http://ballotpedia.org/David_Carlos_Salaverry</t>
  </si>
  <si>
    <t>Jamie Whitaker</t>
  </si>
  <si>
    <t>https://www.facebook.com/ElectJamie</t>
  </si>
  <si>
    <t>Michael Nulty</t>
  </si>
  <si>
    <t>http://www.electmichaelnulty.com/</t>
  </si>
  <si>
    <t>Rodney Hauge</t>
  </si>
  <si>
    <t>John Nulty</t>
  </si>
  <si>
    <t>http://ballotpedia.org/John_Nulty</t>
  </si>
  <si>
    <t>Michael Petrelis</t>
  </si>
  <si>
    <t>http://ebar.com/blogs/lgbt-activist-michael-petrelis-to-kick-off-sf-supervisor-bid-april-5/</t>
  </si>
  <si>
    <t>Tommy Basso</t>
  </si>
  <si>
    <t>http://www.sfbos.org/index.aspx?page=11325</t>
  </si>
  <si>
    <t>https://www.facebook.com/pages/Ed-Donaldson-for-District-10-Supervisor/320895614729402</t>
  </si>
  <si>
    <t>asian</t>
  </si>
  <si>
    <t>http://www.sfweekly.com/sanfrancisco/marlene-trans-success-shows-strength-of-asian-voters/Content?oid=2179486</t>
  </si>
  <si>
    <t>Shawn M. Richard</t>
  </si>
  <si>
    <t>https://ballotpedia.org/Shawn_M._Richard</t>
  </si>
  <si>
    <t>https://ballotpedia.org/Tony_Kelly</t>
  </si>
  <si>
    <t>http://www.sfbos.org/index.aspx?page=11322</t>
  </si>
  <si>
    <t>Board of Supervisors  D3</t>
  </si>
  <si>
    <t>X184</t>
  </si>
  <si>
    <t>Joe Head</t>
  </si>
  <si>
    <t>http://www.summerhillhomes.com/executive-profiles/joseph-head</t>
  </si>
  <si>
    <t>Ray Bowdle</t>
  </si>
  <si>
    <t>X186</t>
  </si>
  <si>
    <t>Patricia A. Shrum</t>
  </si>
  <si>
    <t>http://www.metroactive.com/papers/metro/09.26.96/public-eye-9639.html</t>
  </si>
  <si>
    <t>Robert J. Perro, Sr.</t>
  </si>
  <si>
    <t>X189</t>
  </si>
  <si>
    <t>Ben Menor</t>
  </si>
  <si>
    <t>http://www.mercurynews.com/localnewsheadlines/ci_10680606</t>
  </si>
  <si>
    <t>Carl A. Lindstrom, Jr.</t>
  </si>
  <si>
    <t>http://filipinosgone2california.tripod.com/id5.html</t>
  </si>
  <si>
    <t>Carm J. Grande</t>
  </si>
  <si>
    <t>David V. Gray</t>
  </si>
  <si>
    <t>Linda V. Locke</t>
  </si>
  <si>
    <t>X195</t>
  </si>
  <si>
    <t>Ben Wallach</t>
  </si>
  <si>
    <t>Doris Liu</t>
  </si>
  <si>
    <t>Larry Kelly</t>
  </si>
  <si>
    <t>X199</t>
  </si>
  <si>
    <t>Dick Perez</t>
  </si>
  <si>
    <t>Elbert Reed</t>
  </si>
  <si>
    <t>Kathryn Cole</t>
  </si>
  <si>
    <t>Marvin Olin</t>
  </si>
  <si>
    <t>Patricia Martinez-Roach</t>
  </si>
  <si>
    <t>Terry Hayden</t>
  </si>
  <si>
    <t>X135</t>
  </si>
  <si>
    <t>Trixie Johnson</t>
  </si>
  <si>
    <t>http://transweb.sjsu.edu/PDFs/research/garrett_morgan/2006/S-06-01.htm</t>
  </si>
  <si>
    <t>X136</t>
  </si>
  <si>
    <t>David Pandori</t>
  </si>
  <si>
    <t>David S. Wall</t>
  </si>
  <si>
    <t>Leo Tanner</t>
  </si>
  <si>
    <t>Pierre Claudio Oliverio</t>
  </si>
  <si>
    <t>X140</t>
  </si>
  <si>
    <t>Jack Salvador Licursi</t>
  </si>
  <si>
    <t>Tony Estremera</t>
  </si>
  <si>
    <t>http://www.valleywater.org/About/TonyEstremera.aspx</t>
  </si>
  <si>
    <t>X143</t>
  </si>
  <si>
    <t>Andrew Diaz</t>
  </si>
  <si>
    <t>Gayle Tiller</t>
  </si>
  <si>
    <t>http://www.theindiespotlight.com/?tag=gayle-tiller</t>
  </si>
  <si>
    <t>Vincente R. Perez</t>
  </si>
  <si>
    <t>X147</t>
  </si>
  <si>
    <t>Gary L. Harris</t>
  </si>
  <si>
    <t>https://www.linkedin.com/in/garymharris</t>
  </si>
  <si>
    <t>Joyce Allegro</t>
  </si>
  <si>
    <t>http://www.smartvoter.org/1998nov/ca/scl/vote/allegro_j/bio.html</t>
  </si>
  <si>
    <t>Richard G. Bongiovanni</t>
  </si>
  <si>
    <t>X151</t>
  </si>
  <si>
    <t>Bill Chew</t>
  </si>
  <si>
    <t>Perrenial candidate</t>
  </si>
  <si>
    <t>Kathy Chavez Napoli</t>
  </si>
  <si>
    <t>Susan Hammer</t>
  </si>
  <si>
    <t>Carlton Loeber</t>
  </si>
  <si>
    <t>https://www.linkedin.com/in/carlloeber</t>
  </si>
  <si>
    <t>Jerry Norve</t>
  </si>
  <si>
    <t>http://www.metroactive.com/papers/metro/04.04.96/public-eye-9614.html</t>
  </si>
  <si>
    <t>Meri Maben</t>
  </si>
  <si>
    <t>https://www.sccgov.org/sites/opa/nr/Pages/10-Outstanding-Campbell-Women-and-Girls-To-be-Recognized-with-Distinction-Awards.aspx</t>
  </si>
  <si>
    <t>Steve Ferry</t>
  </si>
  <si>
    <t>https://www.linkedin.com/in/steveferry</t>
  </si>
  <si>
    <t>http://www.metroactive.com/papers/metro/10.14.99/public-eye-9941.html</t>
  </si>
  <si>
    <t>https://books.google.com/books?id=WCllW7ZZpvUC&amp;pg=PR28&amp;lpg=PR28&amp;dq=%22Margie+Fernandes%22+san+jose+city+council&amp;source=bl&amp;ots=Nbnk6YBZFu&amp;sig=RsMCk2jOMJQa-p2jUdbzZqciT8s&amp;hl=en&amp;sa=X&amp;ved=0CEIQ6AEwBmoVChMIvIXn7_HixgIViAOSCh14twAM#v=onepage&amp;q=%22Margie%20Fernandes%22%20san%20jose%20city%20council&amp;f=false</t>
  </si>
  <si>
    <t>http://blog.sfgate.com/missbigelow/2010/03/02/sf-symphony-enter-the-tiger/</t>
  </si>
  <si>
    <t>http://www.ourcampaigns.com/CandidateDetail.html?CandidateID=249037</t>
  </si>
  <si>
    <t>Robert A. Buckner</t>
  </si>
  <si>
    <t>Patricia Dando</t>
  </si>
  <si>
    <t>Ron Gonzales</t>
  </si>
  <si>
    <t>Charles Philip Gillingham</t>
  </si>
  <si>
    <t>http://www.sanjoseinside.com/2013/05/24/5_24_13_wag_the_dog_dirty_politics_sex/</t>
  </si>
  <si>
    <t>Jason Buzi</t>
  </si>
  <si>
    <t>http://www.huffingtonpost.com/2014/06/10/hidden-cash_n_5479053.html</t>
  </si>
  <si>
    <t>Ross Signorino</t>
  </si>
  <si>
    <t>http://www.ourcampaigns.com/CandidateDetail.html?CandidateID=245976</t>
  </si>
  <si>
    <t>Phil Reynolds, Jr.</t>
  </si>
  <si>
    <t>http://philreynoldsjr.com/about-phil/</t>
  </si>
  <si>
    <t>Refugio "Ray" Moreno</t>
  </si>
  <si>
    <t>http://www.smartvoter.org/1998jun/ca/scl/vote/moreno_r/</t>
  </si>
  <si>
    <t>Tony West</t>
  </si>
  <si>
    <t>http://www.ourcampaigns.com/CandidateDetail.html?CandidateID=212285</t>
  </si>
  <si>
    <t>Felix Alvarez</t>
  </si>
  <si>
    <t>http://articles.latimes.com/1990-07-14/news/mn-243_1_san-jose-history</t>
  </si>
  <si>
    <t>http://www.ourcampaigns.com/CandidateDetail.html?CandidateID=241746</t>
  </si>
  <si>
    <t>Roy Franklin Que-Heath</t>
  </si>
  <si>
    <t>http://www.smartvoter.org/1998jun/ca/scl/vote/que-heath_r/index.html</t>
  </si>
  <si>
    <t>http://www.mercurynews.com/ci_18366074</t>
  </si>
  <si>
    <t>http://www.smartvoter.org/2000/03/07/ca/scl/vote/napoli_k/bio.html and http://www.metroactive.com/papers/metro/05.21.98/napoli-9820.html</t>
  </si>
  <si>
    <t>Maria Y. Ferrer</t>
  </si>
  <si>
    <t>http://www.metroactive.com/papers/metro/01.06.00/public-eye-0001.html</t>
  </si>
  <si>
    <t>Dale Detwiler</t>
  </si>
  <si>
    <t>George Melendez</t>
  </si>
  <si>
    <t>J. Manuel Herrera</t>
  </si>
  <si>
    <t>Jim Canova</t>
  </si>
  <si>
    <t>http://www.smartvoter.org/2000/03/07/ca/scl/vote/canova_j/bio.html</t>
  </si>
  <si>
    <t>Dan Lopez</t>
  </si>
  <si>
    <t>Jim Spence</t>
  </si>
  <si>
    <t>Kris Cunningham</t>
  </si>
  <si>
    <t>http://www.smartvoter.org/2000/11/07/ca/scl/vote/cunningham_k/</t>
  </si>
  <si>
    <t>Mike Borquez</t>
  </si>
  <si>
    <t>Eddie Garcia</t>
  </si>
  <si>
    <t>http://svlatino.com/author/eddie-garcia/</t>
  </si>
  <si>
    <t>Maria Fuentes</t>
  </si>
  <si>
    <t>http://www.ourcampaigns.com/CandidateDetail.html?CandidateID=240522</t>
  </si>
  <si>
    <t>http://strokeinfo.org/about-us/people</t>
  </si>
  <si>
    <t>William J. Garbett</t>
  </si>
  <si>
    <t>http://onlineartdirector.com/archive/votersguide/docs/sjcc.html</t>
  </si>
  <si>
    <t>J. Vanlandingham</t>
  </si>
  <si>
    <t>Jose Posadas</t>
  </si>
  <si>
    <t>http://www.mercurynews.com/topstories/ci_12969515</t>
  </si>
  <si>
    <t>http://www.valleywater.org/About/LindaLeZotte.aspx</t>
  </si>
  <si>
    <t>Alex Ayala</t>
  </si>
  <si>
    <t>Alfredo Benavides</t>
  </si>
  <si>
    <t>http://www.somosprimos.com/sp2002/spmar02.htm</t>
  </si>
  <si>
    <t>Andrew Abraham Diaz</t>
  </si>
  <si>
    <t>Bob Dhillon</t>
  </si>
  <si>
    <t>Ed Voss</t>
  </si>
  <si>
    <t>http://www.smartvoter.org/2002/03/05/ca/scl/vote/gregory_t/endorse.html</t>
  </si>
  <si>
    <t>Chris Hemingway</t>
  </si>
  <si>
    <t>http://www.smartvoter.org/2002/03/05/ca/scl/vote/hemingway_c/</t>
  </si>
  <si>
    <t>http://www.sanjoseinside.com/2013/10/28/10_28_13_former_councilmember_forrest_williams_mayor/</t>
  </si>
  <si>
    <t>Ted Scarlett</t>
  </si>
  <si>
    <t>Dale Warner</t>
  </si>
  <si>
    <t>http://www.dalewarner.com/sub1/2004camp.asp</t>
  </si>
  <si>
    <t>Daniel L. Beasworrick</t>
  </si>
  <si>
    <t>http://www.smartvoter.org/2004/03/02/ca/scl/vote/beasworrick_d/</t>
  </si>
  <si>
    <t>https://www.sccgov.org/sites/d4/Pages/Supervisor-Ken-Yeager's-Home-Page.aspx</t>
  </si>
  <si>
    <t>Rich De La Rosa</t>
  </si>
  <si>
    <t>http://www.smartvoter.org/2004/03/02/ca/scl/vote/delarosa_r/bio.html</t>
  </si>
  <si>
    <t>Ronald Siporen</t>
  </si>
  <si>
    <t>http://www.smartvoter.org/2004/03/02/ca/scl/vote/siporen_r/</t>
  </si>
  <si>
    <t>http://www.smartvoter.org/2000/03/07/ca/scl/vote/garbett_w/bio.html</t>
  </si>
  <si>
    <t>Beth Gonzales</t>
  </si>
  <si>
    <t>http://www.smartvoter.org/2005/06/07/ca/scl/vote/gonzales_b/bio.html</t>
  </si>
  <si>
    <t>http://www.smartvoter.org/2002/03/05/ca/scl/vote/voss_e/bio.html</t>
  </si>
  <si>
    <t>Linda Nguyen</t>
  </si>
  <si>
    <t>http://www.ourcampaigns.com/CandidateDetail.html?CandidateID=219491</t>
  </si>
  <si>
    <t>Mahealani</t>
  </si>
  <si>
    <t>Rudy J. Rodriguez</t>
  </si>
  <si>
    <t>http://www.mercurynews.com/my-town/ci_27269055/walnut-creek-latino-families-forced-move-file-complaints</t>
  </si>
  <si>
    <t>Timothy Lauwers</t>
  </si>
  <si>
    <t>http://www3.sanjoseca.gov/clerk/elections/District7/Statements/Lauwers.pdf</t>
  </si>
  <si>
    <t>http://www.mercurynews.com/ci_23764711/chavez-has-lead-santa-clara-county-district-2</t>
  </si>
  <si>
    <t>Dave Cortese</t>
  </si>
  <si>
    <t>http://www.smartvoter.org/2006/06/06/ca/scl/vote/pandori_d/</t>
  </si>
  <si>
    <t>John Candeias</t>
  </si>
  <si>
    <t>http://www.smartvoter.org/2006/06/06/ca/scl/vote/candeias_j/index.html</t>
  </si>
  <si>
    <t>Jose Aurelio Hernandez</t>
  </si>
  <si>
    <t>http://www.smartvoter.org/2006/06/06/ca/scl/race/5200/</t>
  </si>
  <si>
    <t>Larry Flores</t>
  </si>
  <si>
    <t>http://www.ourcampaigns.com/CandidateDetail.html?CandidateID=124777</t>
  </si>
  <si>
    <t>Michael C. Macarelli</t>
  </si>
  <si>
    <t>Michael Mulcahy</t>
  </si>
  <si>
    <t>http://www.smartvoter.org/2006/06/06/ca/scl/vote/mulcahy_m/</t>
  </si>
  <si>
    <t>Timothy K. Fitzgerald</t>
  </si>
  <si>
    <t>https://www.linkedin.com/pub/timothy-fitzgerald/28/a89/682</t>
  </si>
  <si>
    <t>Jay James</t>
  </si>
  <si>
    <t>http://www.smartvoter.org/2006/06/06/ca/scl/vote/james_j/bio.html</t>
  </si>
  <si>
    <t>http://www.smartvoter.org/2006/06/06/ca/scl/vote/signorino_r/index.html</t>
  </si>
  <si>
    <t>Candy Russell</t>
  </si>
  <si>
    <t>http://www.metroactive.com/metro/04.19.06/city-council-0616.html</t>
  </si>
  <si>
    <t>Dennis Kyne</t>
  </si>
  <si>
    <t>http://tian.greens.org/SanJose/MarchPeaceMarch06/index.shtml</t>
  </si>
  <si>
    <t>Joel Wyrick</t>
  </si>
  <si>
    <t>http://www.smartvoter.org/2002/03/05/ca/scl/vote/posadas_j/bio.html</t>
  </si>
  <si>
    <t>http://www.smartvoter.org/2006/06/06/ca/scl/vote/diaz_m/bio.html and http://www.metroactive.com/metro/04.19.06/city-council-0616.html</t>
  </si>
  <si>
    <t>http://www.sanjoseinside.com/2015/02/18/former-nora-campos-employee-tells-all-after-firing/</t>
  </si>
  <si>
    <t>Art Maurice</t>
  </si>
  <si>
    <t>http://www.smartvoter.org/2006/11/07/ca/scl/vote/maurice_a/</t>
  </si>
  <si>
    <t>Brad Imamura</t>
  </si>
  <si>
    <t>http://aaci.org/bulletin/fy-14-honor-roll/</t>
  </si>
  <si>
    <t>Clark Williams</t>
  </si>
  <si>
    <t>http://www.democracyforamerica.com/campaigns/2668-clark-williams-for-san-jose-city-council?lastmod=2012-11-20+11%3A49%3A32+-0500</t>
  </si>
  <si>
    <t>http://www.smartvoter.org/2006/11/07/ca/scl/vote/spence_j/</t>
  </si>
  <si>
    <t>Steve Tedesco</t>
  </si>
  <si>
    <t>David Cueva</t>
  </si>
  <si>
    <t>Article- Photo</t>
  </si>
  <si>
    <t>http://www.cancercarepoint.org/board.html</t>
  </si>
  <si>
    <t>Kevin Fanning</t>
  </si>
  <si>
    <t>Bryan Do</t>
  </si>
  <si>
    <t>http://www.smartvoter.org/2007/03/06/ca/scl/vote/do_b/</t>
  </si>
  <si>
    <t>Hon Thi Lien</t>
  </si>
  <si>
    <t>http://www.smartvoter.org/2007/06/05/ca/scl/vote/lien_h/statement.html</t>
  </si>
  <si>
    <t>Jacqueline Bates</t>
  </si>
  <si>
    <t>http://www.smartvoter.org/2007/03/06/ca/scl/vote/bates_j/</t>
  </si>
  <si>
    <t>Jim Foran</t>
  </si>
  <si>
    <t>http://www.lightofmorn.com/html/cgf_farmtour08.htm</t>
  </si>
  <si>
    <t>Rosemary Knox</t>
  </si>
  <si>
    <t>Andrew Andy Diaz</t>
  </si>
  <si>
    <t>http://www.smartvoter.org/2007/03/06/ca/scl/race/5207/</t>
  </si>
  <si>
    <t>X102</t>
  </si>
  <si>
    <t>https://www.facebook.com/tedescosteve</t>
  </si>
  <si>
    <t>Website and Photo</t>
  </si>
  <si>
    <t>Bui Thang</t>
  </si>
  <si>
    <t>http://www.mercurynews.com/politics/ci_9475680</t>
  </si>
  <si>
    <t>Jacquelyn "Jackie" Adams</t>
  </si>
  <si>
    <t>http://www.smartvoter.org/2004/11/02/ca/scl/vote/adams_j/</t>
  </si>
  <si>
    <t>Nicholas J. Rice-Sanchez</t>
  </si>
  <si>
    <t>http://www.smartvoter.org/2008/06/03/ca/scl/vote/rice-sanchez_n/questions.html</t>
  </si>
  <si>
    <t>Ram Singh</t>
  </si>
  <si>
    <t>http://www.smartvoter.org/2008/06/03/ca/scl/vote/singh_r/</t>
  </si>
  <si>
    <t>http://www.smartvoter.org/2008/06/03/ca/scl/vote/scarlett_t/</t>
  </si>
  <si>
    <t>Craig Mann</t>
  </si>
  <si>
    <t>http://www.smartvoter.org/2008/06/03/ca/scl/vote/mann_c/</t>
  </si>
  <si>
    <t>Galvin D. Jackson</t>
  </si>
  <si>
    <t>Photo- H</t>
  </si>
  <si>
    <t>Lan Nguyen</t>
  </si>
  <si>
    <t>http://littlesaigoninside.blogspot.com/2015/01/san-jose-d8-city-council-2016-race.html</t>
  </si>
  <si>
    <t>Minh Duong</t>
  </si>
  <si>
    <t>Pat Waite</t>
  </si>
  <si>
    <t>http://www.sanjoseinside.com/2012/09/12/9_12_pat_waite_republican_san_jose_mayor/</t>
  </si>
  <si>
    <t>Sylvia Alvarez</t>
  </si>
  <si>
    <t>http://my.lulac.org/group/159</t>
  </si>
  <si>
    <t>Van Le</t>
  </si>
  <si>
    <t>Ashraf M.</t>
  </si>
  <si>
    <t>http://www.smartvoter.org/2008/06/03/ca/scl/vote/m_a/</t>
  </si>
  <si>
    <t>http://www.mercurynews.com/ci_22189706/nancy-pyle-looks-back-her-eight-years-representing</t>
  </si>
  <si>
    <t>Susan Barragan</t>
  </si>
  <si>
    <t>http://www.smartvoter.org/2010/06/08/ca/scl/vote/barragan_s/bio.html</t>
  </si>
  <si>
    <t>Thomas Nguyen</t>
  </si>
  <si>
    <t>http://littlesaigoninside.blogspot.com/2010_05_30_archive.html</t>
  </si>
  <si>
    <t>http://www.ourcampaigns.com/RaceDetail.html?RaceID=643292</t>
  </si>
  <si>
    <t>David Clancy</t>
  </si>
  <si>
    <t>http://www.clancyforcitycouncil.com/about.html</t>
  </si>
  <si>
    <t>Tom Johnston</t>
  </si>
  <si>
    <t>https://www.linkedin.com/pub/tom-johnston/b3/4a0/270</t>
  </si>
  <si>
    <t>http://www.peteconstant.com/</t>
  </si>
  <si>
    <t>Timothy Hennessey</t>
  </si>
  <si>
    <t>http://www.ourcampaigns.com/CandidateDetail.html?CandidateID=240792</t>
  </si>
  <si>
    <t>http://www.herreraforcitycouncil.com/about.htm</t>
  </si>
  <si>
    <t>Aaron Resendez</t>
  </si>
  <si>
    <t>http://www.vnlisting.com/minhduong/biography.php</t>
  </si>
  <si>
    <t>Patrick Phu le</t>
  </si>
  <si>
    <t>http://www.contracostatimes.com/ci_15186705 and http://www.sanjoseinside.com/2010/02/04/district_7_council_candidate_carpetbagger/</t>
  </si>
  <si>
    <t>http://www.contracostatimes.com/ci_15186705</t>
  </si>
  <si>
    <t>Vietnam Nguyen</t>
  </si>
  <si>
    <t>Chad Greer</t>
  </si>
  <si>
    <t>http://www.ourcampaigns.com/CandidateDetail.html?CandidateID=240501</t>
  </si>
  <si>
    <t>http://www.smartvoter.org/2010/06/08/ca/scl/vote/cueva_d/index.html</t>
  </si>
  <si>
    <t>Wesbite- self-identifies</t>
  </si>
  <si>
    <t>Jim Cogan</t>
  </si>
  <si>
    <t>http://www.smartvoter.org/2010/06/08/ca/scl/vote/cogan_j/</t>
  </si>
  <si>
    <t>Larry Pegram</t>
  </si>
  <si>
    <t>http://www.smartvoter.org/2010/11/02/ca/scl/vote/pegram_l/bio.html</t>
  </si>
  <si>
    <t>Robert Cortese</t>
  </si>
  <si>
    <t>http://www.ourcampaigns.com/CandidateDetail.html?CandidateID=240500</t>
  </si>
  <si>
    <t>Tim Murphy</t>
  </si>
  <si>
    <t>http://www.smartvoter.org/2012/06/05/ca/scl/vote/murphy_t/bio.html</t>
  </si>
  <si>
    <t>http://www.sjdistrict2.com/index.php?option=com_content&amp;view=article&amp;id=171&amp;Itemid=214</t>
  </si>
  <si>
    <t>Rafael Sabic</t>
  </si>
  <si>
    <t>http://www.sabicforcitycouncil.com/My_Story.html</t>
  </si>
  <si>
    <t>Tam Truong</t>
  </si>
  <si>
    <t>http://www.sanjoseinside.com/2012/05/23/tam_truong_primary_endorsement_san_jose_city_council_district_4/</t>
  </si>
  <si>
    <t>http://asmdc.org/members/a25/</t>
  </si>
  <si>
    <t>Steve Kline</t>
  </si>
  <si>
    <t>http://www.smartvoter.org/2012/06/05/ca/scl/vote/kline_s/</t>
  </si>
  <si>
    <t>Jimmy Nguyen</t>
  </si>
  <si>
    <t>http://littlesaigoninside.blogspot.com/</t>
  </si>
  <si>
    <t>http://www.smartvoter.org/2012/06/05/ca/scl/vote/martinez-roach_p/bio.html</t>
  </si>
  <si>
    <t>Brian O'Neill</t>
  </si>
  <si>
    <t>https://twitter.com/oneill4d10</t>
  </si>
  <si>
    <t>Denelle Fedor</t>
  </si>
  <si>
    <t>http://www.smartvoter.org/2012/06/05/ca/scl/vote/fedor_d/</t>
  </si>
  <si>
    <t>Edesa Bitbadal</t>
  </si>
  <si>
    <t>http://www.iranianamericanpac.org/edesa-bitbadal.aspx</t>
  </si>
  <si>
    <t>http://johnnykhamis.org/about.php</t>
  </si>
  <si>
    <t>Leslie Reynolds</t>
  </si>
  <si>
    <t>http://www.bayareagop.com/leslie-reynolds-%E2%80%A2-candidate-for-san-jose-city-council/</t>
  </si>
  <si>
    <t>Robert Braunstein</t>
  </si>
  <si>
    <t>http://www.sanjoseinside.com/2012/05/23/robert_braunstein_endorsement_district_10/</t>
  </si>
  <si>
    <t>http://www.smartvoter.org/2014/06/03/ca/scl/vote/cortese_d/</t>
  </si>
  <si>
    <t>Mike Alvarado</t>
  </si>
  <si>
    <t>http://www.smartvoter.org/2014/06/03/ca/scl/vote/alvarado_m/questions.html</t>
  </si>
  <si>
    <t>http://www.mercurynews.com/ci_21944051/district-8-san-jose-city-council-incumbent-herrera</t>
  </si>
  <si>
    <t>Timothy Harrison</t>
  </si>
  <si>
    <t>http://ballotpedia.org/Timothy_Harrison</t>
  </si>
  <si>
    <t>Supported by La Raza and video</t>
  </si>
  <si>
    <t>http://www.ourcampaigns.com/CandidateDetail.html?CandidateID=92319</t>
  </si>
  <si>
    <t>http://www.smartvoter.org/2014/06/03/ca/scl/vote/nguyen_m/</t>
  </si>
  <si>
    <t>http://fromhereforus.com/about-pierluigi/</t>
  </si>
  <si>
    <t>http://www.samliccardo.com/</t>
  </si>
  <si>
    <t>Art Zimmermann</t>
  </si>
  <si>
    <t>http://www.smartvoter.org/2014/06/03/ca/scl/vote/zimmermann_a/</t>
  </si>
  <si>
    <t>Bob Levy</t>
  </si>
  <si>
    <t>http://www.boblevy.net/home/about/</t>
  </si>
  <si>
    <t>http://sjdistrict1.com/about/</t>
  </si>
  <si>
    <t>Paul Fong</t>
  </si>
  <si>
    <t>http://www.sanjoseinside.com/2014/09/24/paul-fongs-san-jose-council-campaign-plays-the-race-card/</t>
  </si>
  <si>
    <t>Richard McCoy</t>
  </si>
  <si>
    <t>https://www.linkedin.com/pub/richard-mccoy/b/486/183</t>
  </si>
  <si>
    <t>Susan Marsland</t>
  </si>
  <si>
    <t>http://www.smartvoter.org/2014/06/03/ca/scl/vote/marsland_s/paper1.html</t>
  </si>
  <si>
    <t>Tim Gildersleeve</t>
  </si>
  <si>
    <t>http://alternativevoiceforsanjose.com/info/history.html</t>
  </si>
  <si>
    <t>Don Gagliardi</t>
  </si>
  <si>
    <t>https://www.facebook.com/DonGagliardiforSJCityCouncil</t>
  </si>
  <si>
    <t>George Kleidon</t>
  </si>
  <si>
    <t>http://www.mercurynews.com/ci_23056546/league-their-own-father-and-son-bring-youth</t>
  </si>
  <si>
    <t>John H. Hosmon</t>
  </si>
  <si>
    <t>https://www.facebook.com/pages/John-Hosmon-For-City-Council-D-3/1401474876782974?sk=info&amp;tab=page_info</t>
  </si>
  <si>
    <t>Kathy Yamada Sutherland</t>
  </si>
  <si>
    <t>http://www.rafu.com/2014/06/apa-candidates-in-county-city-races/ and http://www.smartvoter.org/2014/06/03/ca/scl/vote/sutherland_k/philosophy.html</t>
  </si>
  <si>
    <t>Mauricio Mejia</t>
  </si>
  <si>
    <t>https://ballotpedia.org/Mauricio_Mejia,_Jr.</t>
  </si>
  <si>
    <t>http://www.raulperalez.com/#!en-espanol/c1emf</t>
  </si>
  <si>
    <t>http://www.mercurynews.com/bay-area-news/ci_28382219/san-jose-councilwoman-magdalena-carrasco-confirms-she-wont</t>
  </si>
  <si>
    <t>http://www.sanjoseinside.com/2010/10/28/10_28_2010_aaron_resendez_alum_rock_angie_cardoza_sccboe1/</t>
  </si>
  <si>
    <t>http://www.mercurynews.com/ci_24126159/san-jose-city-councilman-xavier-campos-tainted-by</t>
  </si>
  <si>
    <t>Buu Thai</t>
  </si>
  <si>
    <t>http://www.mercurynews.com/ci_25784089/san-jose-district-7-voters-will-choose-new</t>
  </si>
  <si>
    <t>Maya Esparza</t>
  </si>
  <si>
    <t>http://www.democracy.com/mayaesparza/bio.aspx</t>
  </si>
  <si>
    <t>Association and Website</t>
  </si>
  <si>
    <t>http://www.rafu.com/2014/06/apa-candidates-in-county-city-races/</t>
  </si>
  <si>
    <t>Lois Wilco-Owens</t>
  </si>
  <si>
    <t>https://www.facebook.com/LoisForCityCouncil/info?tab=page_info</t>
  </si>
  <si>
    <t>http://www.donaldrocha.com/supporters.html and https://www.youtube.com/watch?v=QgE4tk71cDA</t>
  </si>
  <si>
    <t>Alex Torres</t>
  </si>
  <si>
    <t>http://www.smartvoter.org/2015/04/07/ca/scl/vote/torres_a/ and https://www.facebook.com/AlexTorresForD4/timeline?ref=page_internal</t>
  </si>
  <si>
    <t>Allen Ming Chiu</t>
  </si>
  <si>
    <t>https://twitter.com/chiu360</t>
  </si>
  <si>
    <t>http://bobdhillon.com/blog/about/</t>
  </si>
  <si>
    <t>Johnny Lee</t>
  </si>
  <si>
    <t>http://www.smartvoter.org/2015/04/07/ca/scl/vote/lee_j/</t>
  </si>
  <si>
    <t>Khoa Nguyen</t>
  </si>
  <si>
    <t>https://www.facebook.com/voteforkhoa/info?tab=page_info</t>
  </si>
  <si>
    <t>Lan Diep</t>
  </si>
  <si>
    <t>Manh Nguyen</t>
  </si>
  <si>
    <t>http://www.smartvoter.org/2015/04/07/ca/scl/vote/nguyen_m/ and http://www.manhnguyenforcouncil.com/about_manh</t>
  </si>
  <si>
    <t>Rudy Nasol</t>
  </si>
  <si>
    <t>http://rudynasol.com/about/</t>
  </si>
  <si>
    <t>Thelma Boac</t>
  </si>
  <si>
    <t>https://www.facebook.com/thelma.boac</t>
  </si>
  <si>
    <t>Tim Orozco</t>
  </si>
  <si>
    <t>http://thelefthook.com/2015/04/07/2632/</t>
  </si>
  <si>
    <t>Justin P. Agrella</t>
  </si>
  <si>
    <t>http://www.mcclatchydc.com/news/nation-world/national/economy/article24765661.html</t>
  </si>
  <si>
    <t>Lou Filipovich</t>
  </si>
  <si>
    <t>Allan K. Lindsay-O'Neal</t>
  </si>
  <si>
    <t>Diana Rodriguez</t>
  </si>
  <si>
    <t>Mark Tichy</t>
  </si>
  <si>
    <t>http://www.sanleandrobytes.com/archives/006863.html</t>
  </si>
  <si>
    <t>http://www.bizjournals.com/eastbay/stories/2007/12/31/smallb1.html</t>
  </si>
  <si>
    <t>http://www.smartvoter.org/2006/06/06/ca/alm/vote/nardine_g/</t>
  </si>
  <si>
    <t>Paul G. Vargas</t>
  </si>
  <si>
    <t>http://www.csus.edu/ccp/staff/grant.html</t>
  </si>
  <si>
    <t>Mike Mahoney</t>
  </si>
  <si>
    <t>http://blog.sfgate.com/stienstra/2012/11/06/in-tiny-boat-bay-area-man-catches-two-giant-tuna/</t>
  </si>
  <si>
    <t>Anthony B. Santos</t>
  </si>
  <si>
    <t>Wafaa Sabri Aborashed</t>
  </si>
  <si>
    <t>Marcene Nardine</t>
  </si>
  <si>
    <t>http://www.sanleandrobytes.com/archives/cat_politics.html and http://www.zoominfo.com/p/Orval-Badger/347136041</t>
  </si>
  <si>
    <t>Frank Lynn</t>
  </si>
  <si>
    <t>http://www.insidebayarea.com/search/ci_3895928</t>
  </si>
  <si>
    <t>Diana Souza</t>
  </si>
  <si>
    <t>Julian P. Polvorosa</t>
  </si>
  <si>
    <t>http://www.smartvoter.org/2006/06/06/ca/alm/vote/polvorosa_j/</t>
  </si>
  <si>
    <t>Nat Kleinstein</t>
  </si>
  <si>
    <t>http://www.alamy.com/stock-photo-virgina-boepple-walks-her-bonaire-neighborhood-with-nat-kleinstein-44235445.html</t>
  </si>
  <si>
    <t>https://www.youtube.com/watch?v=S5Rp_MD4XnM</t>
  </si>
  <si>
    <t>Charles Gilcrest</t>
  </si>
  <si>
    <t>https://www.youtube.com/watch?v=Anxi3P-8770</t>
  </si>
  <si>
    <t>http://www.sanleandrobytes.com/archives/cat_politics.html</t>
  </si>
  <si>
    <t>http://patch.com/california/sanleandro/irrepressible-candidate-lou-filipovich-dies-at-90</t>
  </si>
  <si>
    <t>Paul K. Gonzalez</t>
  </si>
  <si>
    <t>Estelle E. Clemons</t>
  </si>
  <si>
    <t>http://www.ibabuzz.com/hayword/2008/04/page/2/</t>
  </si>
  <si>
    <t>Hermy B. Almonte</t>
  </si>
  <si>
    <t>http://www.asianweek.com/2008/11/06/election-results-roundup-2/</t>
  </si>
  <si>
    <t>http://www.sanleandrobytes.com/archives/007010.html</t>
  </si>
  <si>
    <t>http://www.zoominfo.com/CachedPage/?archive_id=0&amp;page_id=1407301198&amp;page_url=//www.bafc.org/BAFCNews/10-29-05COF_BreakfastReport.htm&amp;page_last_updated=2007-09-11T05:03:12&amp;firstName=Wafaa&amp;lastName=Aborashed</t>
  </si>
  <si>
    <t>http://www.smartvoter.org/2010/11/02/ca/alm/vote/santos_a/</t>
  </si>
  <si>
    <t>John R. Palau</t>
  </si>
  <si>
    <t>http://www.apacaucus.org/downloads/JOHNPALAU.pdf</t>
  </si>
  <si>
    <t>Self-Identifies</t>
  </si>
  <si>
    <t>http://www.smartvoter.org/2008/06/03/ca/alm/vote/starosciak_j/bio.html</t>
  </si>
  <si>
    <t>http://ebpublishing.com/index.php?option=com_content&amp;view=article&amp;id=5246:perennial-candidate-filipovich-passes-away-&amp;catid=50:san-leandro-news&amp;Itemid=131</t>
  </si>
  <si>
    <t>Sara M. Mestas</t>
  </si>
  <si>
    <t>http://www.sanleandrobytes.com/archives/2010_08.html</t>
  </si>
  <si>
    <t>http://www.smartvoter.org/2010/11/02/ca/alm/vote/cassidy_s/bio.html</t>
  </si>
  <si>
    <t>Carol Libbrecht</t>
  </si>
  <si>
    <t>http://votersedge.org/california/2014/november/san-leandro/candidates/council-member-council-district-1/9848-david-l-anderson-sr#.VrkLQfkrIdU</t>
  </si>
  <si>
    <t>http://www.smartvoter.org/2010/11/02/ca/alm/vote/gregory_m/bio.html</t>
  </si>
  <si>
    <t>Dan Dillman</t>
  </si>
  <si>
    <t>http://www.dandillman.com/</t>
  </si>
  <si>
    <t>Morgan Mack-Rose</t>
  </si>
  <si>
    <t>http://patch.com/california/sanleandro/morgan-mack-rose-candidate-for-san-leandro-city-counc98d8cf04b9</t>
  </si>
  <si>
    <t>http://www.sanleandro.org/depts/council/dist2.asp</t>
  </si>
  <si>
    <t>http://www.sanleandro.org/depts/council/dist4.asp</t>
  </si>
  <si>
    <t>Chris Crow</t>
  </si>
  <si>
    <t>https://www.facebook.com/pages/Chris-Crow-for-City-Council-VoteChrisCrowcom/231584543559478</t>
  </si>
  <si>
    <t>Darlene Daevu</t>
  </si>
  <si>
    <t>http://www.smartvoter.org/2012/11/06/ca/alm/vote/daevu_d/</t>
  </si>
  <si>
    <t>Justin Hutchison</t>
  </si>
  <si>
    <t>http://www.ebcitizen.com/2012/09/hutchison-tries-to-prove-all-politics.html</t>
  </si>
  <si>
    <t>http://patch.com/california/sanleandro/bp--hermy-almonte-your-candidate-for-san-leandro-counfff8016db1</t>
  </si>
  <si>
    <t>http://www.sanleandro.org/depts/council/dist6.asp</t>
  </si>
  <si>
    <t>http://www.dandillman.com/about-dan.html</t>
  </si>
  <si>
    <t>http://www.ebcitizen.com/2014/05/san-leandro-councilmember-diana-souza.html</t>
  </si>
  <si>
    <t>Gregg Daly</t>
  </si>
  <si>
    <t>http://www.eastbayexpress.com/LegalizationNation/archives/2013/09/19/retired-cop-endorses-san-leandro-medical-cannabis-dispensaries-blasts-drug-war</t>
  </si>
  <si>
    <t>http://www.sanleandro.org/depts/council/mayor.asp</t>
  </si>
  <si>
    <t>http://www.smartvoter.org/2010/11/02/ca/alm/vote/anderson_d/index.html</t>
  </si>
  <si>
    <t>http://www.sanleandro.org/depts/council/dist1.asp</t>
  </si>
  <si>
    <t>Kenneth Pon</t>
  </si>
  <si>
    <t>Mike Katz-Lacabe</t>
  </si>
  <si>
    <t>http://sanleandrotalk.voxpublica.org/tag/mike-katz-lacabe/</t>
  </si>
  <si>
    <t>Allen Schoenfeld</t>
  </si>
  <si>
    <t>https://www.facebook.com/allen.schoenfeld</t>
  </si>
  <si>
    <t>http://www.sanleandro.org/depts/council/dist3.asp</t>
  </si>
  <si>
    <t>Victor Aguilar</t>
  </si>
  <si>
    <t>http://www.contracostatimes.com/breaking-news/ci_26873869/san-leandro-city-council-will-have-diverse-majority and https://www.facebook.com/victoraguilarforsanleandrocitycouncil/</t>
  </si>
  <si>
    <t>http://www.corinalopez.com/</t>
  </si>
  <si>
    <t>Leah Hall</t>
  </si>
  <si>
    <t>Mia Ousley</t>
  </si>
  <si>
    <t>https://www.facebook.com/Mia4Council</t>
  </si>
  <si>
    <t>Steve Rocco</t>
  </si>
  <si>
    <t>http://www.ocregister.com/articles/rocco-507511-recall-petition.html</t>
  </si>
  <si>
    <t>Vital D'Carpio</t>
  </si>
  <si>
    <t>http://articles.latimes.com/2000/nov/05/news/ss-47397/20</t>
  </si>
  <si>
    <t>http://www.examiner.com/article/a-lot-has-changed-the-last-decade-santa-ana-politics</t>
  </si>
  <si>
    <t>Mauro Morales</t>
  </si>
  <si>
    <t>http://www.smartvoter.org/2000/11/07/ca/or/vote/morales_m/bio.html</t>
  </si>
  <si>
    <t>Armando L. Ramirez</t>
  </si>
  <si>
    <t>http://www.smartvoter.org/2000/11/07/ca/or/vote/ramirez_a/</t>
  </si>
  <si>
    <t>Photo and surname</t>
  </si>
  <si>
    <t>Michele Morrisey</t>
  </si>
  <si>
    <t>Winston R. Covington</t>
  </si>
  <si>
    <t>http://newsantaana.com/2010/02/16/can-a-non-latino-become-the-next-mayor-of-santa-ana/</t>
  </si>
  <si>
    <t>Nancy Lutz</t>
  </si>
  <si>
    <t>Jose Macias</t>
  </si>
  <si>
    <t>http://articles.latimes.com/2002/oct/15/local/me-sacouncil15</t>
  </si>
  <si>
    <t>https://www.google.com/url?sa=t&amp;rct=j&amp;q=&amp;esrc=s&amp;source=web&amp;cd=1&amp;ved=0CB4QFjAAahUKEwiOy66EpODGAhWH0YAKHR8MCFQ&amp;url=http%3A%2F%2Fcams.ocgov.com%2FWeb_Publisher%2FAgenda02_07_2012_files%2Fimages%2FO00112-000105A.DOC&amp;ei=CvinVY6eFIejgwSfmKCgBQ&amp;usg=AFQjCNHO5UI5WU2onA-ruC1WxX_VBE6guQ&amp;sig2=Ib22HkCt6IUvV8t6FP_vCw&amp;cad=rja</t>
  </si>
  <si>
    <t>Bio</t>
  </si>
  <si>
    <t>Zeke Hernandez</t>
  </si>
  <si>
    <t>Eleazar Elizondo</t>
  </si>
  <si>
    <t>http://www.smartvoter.org/2002/11/05/ca/or/vote/elizondo_e/</t>
  </si>
  <si>
    <t>Jennifer Villasenor</t>
  </si>
  <si>
    <t>Margaret Jeanne Flindt</t>
  </si>
  <si>
    <t>Robert L. Henson, Sr.</t>
  </si>
  <si>
    <t>http://www.smartvoter.org/2002/11/05/ca/or/vote/henson_r/</t>
  </si>
  <si>
    <t>Stanley Fiala</t>
  </si>
  <si>
    <t>http://newsantaana.com/2013/03/07/so-you-think-you-can-beat-mayor-pulido/</t>
  </si>
  <si>
    <t>Jose Soto</t>
  </si>
  <si>
    <t>http://www.smartvoter.org/2004/11/02/ca/or/vote/soto_je1/</t>
  </si>
  <si>
    <t>Alexander "Sandy" Nalle</t>
  </si>
  <si>
    <t>http://www.smartvoter.org/2004/11/02/ca/or/vote/nalle_a/</t>
  </si>
  <si>
    <t>Lynnette M. Verino</t>
  </si>
  <si>
    <t>http://newsantaana.com/2015/03/10/why-are-there-only-two-latino-planning-commissioners-in-santa-ana/</t>
  </si>
  <si>
    <t>Thomas Anthony Gordon</t>
  </si>
  <si>
    <t>Evangeline Gawronski</t>
  </si>
  <si>
    <t>http://www.smartvoter.org/2006/11/07/ca/or/vote/gawronski_e/</t>
  </si>
  <si>
    <t>Fortino "Tino" Rivera</t>
  </si>
  <si>
    <t>http://www.smartvoter.org/2006/11/07/ca/or/vote/rivera_f/bio.html</t>
  </si>
  <si>
    <t>Tish Leon</t>
  </si>
  <si>
    <t>http://www.smartvoter.org/2006/11/07/ca/or/vote/leon_t/</t>
  </si>
  <si>
    <t>Nelida M. Yanez</t>
  </si>
  <si>
    <t>http://umava.org/calendarofevents.html</t>
  </si>
  <si>
    <t>George M. Collins</t>
  </si>
  <si>
    <t>Jim Walker</t>
  </si>
  <si>
    <t>http://www.orangejuiceblog.com/2008/09/what-would-jim-walker-do-for-the-people-of-santa-ana/</t>
  </si>
  <si>
    <t>Ana Rebecca "Becky" Valencia-Verdin</t>
  </si>
  <si>
    <t>http://www.smartvoter.org/2008/11/04/ca/or/vote/valencia-verdin_a/bio.html</t>
  </si>
  <si>
    <t>Arturo "Art" Pedroza</t>
  </si>
  <si>
    <t>http://www.ocregister.com/articles/county-361905-bustamante-sexual.html</t>
  </si>
  <si>
    <t>Lisann Martinez</t>
  </si>
  <si>
    <t>http://www.smartvoter.org/2008/11/04/ca/or/vote/martinez_l/bio.html</t>
  </si>
  <si>
    <t>Alfredo Amezcua</t>
  </si>
  <si>
    <t>http://www.smartvoter.org/2010/11/02/ca/or/vote/amezcua_a/</t>
  </si>
  <si>
    <t>Photo and associations</t>
  </si>
  <si>
    <t>Charles Hart</t>
  </si>
  <si>
    <t>http://www.orangejuiceblog.com/2010/07/republican-charles-hart-announces-his-campaign-for-mayor-of-santa-ana/</t>
  </si>
  <si>
    <t>http://www.orangejuiceblog.com/2008/08/interview-with-george-collins-candidate-for-mayor-of-santa-ana/</t>
  </si>
  <si>
    <t>Roy Alvarado</t>
  </si>
  <si>
    <t>Helen Martinez</t>
  </si>
  <si>
    <t>http://www.ocweekly.com/2010-09-16/news/moxley-confidential-sal-tinajero-helen-martinez/</t>
  </si>
  <si>
    <t>Nam Pham</t>
  </si>
  <si>
    <t>http://newsantaana.com/2010/10/14/santa-ana-council-candidate-nam-pham-says-his-white-supporters-are-opposed-to-mexicans/</t>
  </si>
  <si>
    <t>Lupe Moreno</t>
  </si>
  <si>
    <t>http://www.smartvoter.org/2008/06/03/ca/or/vote/moreno_l/bio.html</t>
  </si>
  <si>
    <t>Miguel Angel Briseno</t>
  </si>
  <si>
    <t>http://ocpolitical.com/2012/10/ and http://www.santanerozine.com/an-interview-with-santa-ana-mayoral-candidate-miguel-angel-briseno/</t>
  </si>
  <si>
    <t>P. David Benavides</t>
  </si>
  <si>
    <t>http://www.ci.santa-ana.ca.us/elected_officials/ward4/</t>
  </si>
  <si>
    <t>http://www.orangejuiceblog.com/2010/08/mayor-miguel-pulido-may-have-already-won/</t>
  </si>
  <si>
    <t>Estela Amezcua</t>
  </si>
  <si>
    <t>http://newsantaana.com/2012/08/09/angelica-and-estela-amezcua-to-run-for-wards-1-and-3/</t>
  </si>
  <si>
    <t>http://www.latimes.com/local/orangecounty/la-me-ff-santa-ana-latino-divide-20150105-story.html#page=1</t>
  </si>
  <si>
    <t>http://www.smartvoter.org/2012/11/06/ca/or/vote/franklin_b/</t>
  </si>
  <si>
    <t>http://www.smartvoter.org/2010/11/02/ca/or/vote/hart_c/</t>
  </si>
  <si>
    <t>Eric M. Alderete</t>
  </si>
  <si>
    <t>http://newsantaana.com/2012/07/22/irvine-police-officer-shane-barrows-running-for-santa-anas-ward-3/</t>
  </si>
  <si>
    <t>Shane Ramon Barrows</t>
  </si>
  <si>
    <t>http://www.smartvoter.org/2012/11/06/ca/or/vote/barrows_s/philosophy.html</t>
  </si>
  <si>
    <t>Stefano "Steve" Rocco</t>
  </si>
  <si>
    <t>Karina Onofre</t>
  </si>
  <si>
    <t>https://karinaonofre.wordpress.com/</t>
  </si>
  <si>
    <t>Laura Perez</t>
  </si>
  <si>
    <t>https://www.facebook.com/lauraperezmayor2014/info?tab=page_info</t>
  </si>
  <si>
    <t>Photo- see h</t>
  </si>
  <si>
    <t>Mark I. Lopez</t>
  </si>
  <si>
    <t>http://voiceofoc.org/2015/01/vietnamese-voter-turnout-to-decide-first-district-race/</t>
  </si>
  <si>
    <t>http://www.ci.santa-ana.ca.us/elected_officials/mayor/</t>
  </si>
  <si>
    <t>http://www.ci.santa-ana.ca.us/elected_officials/ward5/</t>
  </si>
  <si>
    <t>Gilad Salmon</t>
  </si>
  <si>
    <t>http://newsantaana.com/2014/09/17/could-gilad-salmon-become-santa-anas-first-jewish-city-councilman/</t>
  </si>
  <si>
    <t>Mirna Velasquez</t>
  </si>
  <si>
    <t>Rene Gomez</t>
  </si>
  <si>
    <t>https://www.facebook.com/rene.gomez.5074</t>
  </si>
  <si>
    <t>Alex Padilla</t>
  </si>
  <si>
    <t>https://ballotpedia.org/Alex_Padilla_(Santa_Ana,_California)</t>
  </si>
  <si>
    <t>http://newsantaana.com/2010/10/09/is-santa-ana-councilman-david-benavides-a-member-of-the-gops-hispanic-100/</t>
  </si>
  <si>
    <t>Miguel "Mike" Gonzalez</t>
  </si>
  <si>
    <t>http://voiceofoc.org/2014/09/questions-raised-about-santa-ana-candidates-residency/</t>
  </si>
  <si>
    <t>http://www.ci.santa-ana.ca.us/elected_officials/ward6/</t>
  </si>
  <si>
    <t>Chris Stampolis</t>
  </si>
  <si>
    <t>Duarte Braga</t>
  </si>
  <si>
    <t>http://www.smartvoter.org/2000/11/07/ca/scl/vote/braga_d/</t>
  </si>
  <si>
    <t>http://www.mercurynews.com/obituaries/ci_25683857/former-santa-clara-councilwoman-aldyth-parle-killed-car</t>
  </si>
  <si>
    <t>http://santaclaraca.gov/index.aspx?recordid=30&amp;page=547</t>
  </si>
  <si>
    <t>Frederick James Clegg</t>
  </si>
  <si>
    <t>Mike Rodriguez</t>
  </si>
  <si>
    <t>http://www.mercurynews.com/ci_18241571</t>
  </si>
  <si>
    <t>Nam Nguyen</t>
  </si>
  <si>
    <t>Jamie L. Matthews</t>
  </si>
  <si>
    <t>Thomas MacDevitt</t>
  </si>
  <si>
    <t>John McLemore</t>
  </si>
  <si>
    <t>http://www.smartvoter.org/2002/11/05/ca/scl/vote/mclemore_j/</t>
  </si>
  <si>
    <t>Karen Hardy</t>
  </si>
  <si>
    <t>http://www.smartvoter.org/2002/11/05/ca/scl/vote/nguyen_n/</t>
  </si>
  <si>
    <t>Gap Kim</t>
  </si>
  <si>
    <t>http://www.smartvoter.org/2004/11/02/ca/scl/vote/kim_g/</t>
  </si>
  <si>
    <t>Mario Bouza</t>
  </si>
  <si>
    <t>Charles "Chuck" Blair, Jr.</t>
  </si>
  <si>
    <t>http://www.smartvoter.org/2004/11/02/ca/scl/vote/blair_c/</t>
  </si>
  <si>
    <t>Jamie McLeod</t>
  </si>
  <si>
    <t>Todd C. O'Donnell</t>
  </si>
  <si>
    <t>http://www.sfcall.com/issues%202004/9.27.04/9.28.04%20costley.htm</t>
  </si>
  <si>
    <t>http://www.dominiccaserta.com/</t>
  </si>
  <si>
    <t>Brian P. Lowery</t>
  </si>
  <si>
    <t>http://www.smartvoter.org/2008/11/04/ca/scl/vote/lowery_b/</t>
  </si>
  <si>
    <t>http://www.smartvoter.org/2006/11/07/ca/scl/vote/clegg_f/</t>
  </si>
  <si>
    <t>http://www.savesantaclara.org/Joe_Kornder.php</t>
  </si>
  <si>
    <t>http://johnlmclemore.com/</t>
  </si>
  <si>
    <t>http://www.mercurynews.com/ci_19009552</t>
  </si>
  <si>
    <t>http://www.smartvoter.org/2008/11/04/ca/scl/vote/bouza_m/</t>
  </si>
  <si>
    <t>Mary Emerson</t>
  </si>
  <si>
    <t>http://scweekly.blogspot.com/2008/09/mary-emerson-kicks-off-city-council.html</t>
  </si>
  <si>
    <t>http://www.savesantaclara.org/Will_Kennedy.php</t>
  </si>
  <si>
    <t>Chuck Blair</t>
  </si>
  <si>
    <t>http://santaclaraca.gov/index.aspx?page=1177</t>
  </si>
  <si>
    <t>Ciaran Gerard O'Donnell</t>
  </si>
  <si>
    <t>http://www.smartvoter.org/2008/11/04/ca/scl/vote/odonnell_c/endorse.html</t>
  </si>
  <si>
    <t>http://jamiemcleod.org/blog/</t>
  </si>
  <si>
    <t>https://www.linkedin.com/pub/kevin-moore/a/394/344</t>
  </si>
  <si>
    <t>Mohammed Nadeem</t>
  </si>
  <si>
    <t>http://www.savesantaclara.org/Patricia_Mahan.php</t>
  </si>
  <si>
    <t>http://santaclaraca.gov/government/council/councilmembers/teresa-o-neill</t>
  </si>
  <si>
    <t>https://www.facebook.com/pages/Chris-Stampolis-for-Mayor/148943015131048</t>
  </si>
  <si>
    <t>Bill Collins</t>
  </si>
  <si>
    <t>http://www.santaclaraweekly.com/2012/Issue-33/City_Council_Candidates.html</t>
  </si>
  <si>
    <t>John Mlnarik</t>
  </si>
  <si>
    <t>http://www.mlnariklaw.com/meet-our-team/attorney-john-l-mlnarik</t>
  </si>
  <si>
    <t>Alma Jimenez</t>
  </si>
  <si>
    <t>http://www.mercurynews.com/ci_21944465/city-santa-clara-minority-candidates-trailing-bids-all</t>
  </si>
  <si>
    <t>http://santaclaraca.gov/index.aspx?page=2349</t>
  </si>
  <si>
    <t>http://santaclaraca.gov/index.aspx?page=2348</t>
  </si>
  <si>
    <t>Lisa M. Gillmor</t>
  </si>
  <si>
    <t>http://santaclaraca.gov/index.aspx?page=400</t>
  </si>
  <si>
    <t>http://www.dominiccaserta.com/about-dominic.html</t>
  </si>
  <si>
    <t>Kevin Park</t>
  </si>
  <si>
    <t>http://votersedge.org/california/2014/november/santa-clara/candidates/council-member-council-district-5/11818-kevin-park#.VaaxnpNViko</t>
  </si>
  <si>
    <t>Roseann Alderete LaCoursiere</t>
  </si>
  <si>
    <t>http://democracy.com/RoseannLaCoursiere/bio.aspx</t>
  </si>
  <si>
    <t>https://www.facebook.com/KarenHardySantaClaraAdvocate/info?tab=page_info</t>
  </si>
  <si>
    <t>http://www.drnadeem.com/meet-dr-nadeem/nadeem-biography</t>
  </si>
  <si>
    <t>http://santaclaraca.gov/index.aspx?page=397</t>
  </si>
  <si>
    <t>Deborah Bress</t>
  </si>
  <si>
    <t>https://www.facebook.com/Deborah-Bress-Santa-Clara-Advocate-334198150077983/</t>
  </si>
  <si>
    <t>http://santaclaraca.gov/index.aspx?page=401</t>
  </si>
  <si>
    <t>http://www.ourcampaigns.com/CandidateDetail.html?CandidateID=39744</t>
  </si>
  <si>
    <t>Jack Laven</t>
  </si>
  <si>
    <t>http://www.smartvoter.org/2000/11/07/ca/sj/vote/laven_j/</t>
  </si>
  <si>
    <t>http://www.legacy.com/obituaries/chicoer/obituary.aspx?pid=165752107</t>
  </si>
  <si>
    <t>http://deltacouncil.ca.gov/enewsletter/stories/february-2014/sjc-supervisor-larry-ruhstaller-appointed-council</t>
  </si>
  <si>
    <t>Sukhminder S. Chahal</t>
  </si>
  <si>
    <t>http://www.stocktonspeaks.org/pdfs/Gloria_Carido_Nomura.pdf</t>
  </si>
  <si>
    <t>Purn O.D. Howard, Jr.</t>
  </si>
  <si>
    <t>Ralph Lee White</t>
  </si>
  <si>
    <t>Harvey N. Bills, Sr.</t>
  </si>
  <si>
    <t>Martin Edwards</t>
  </si>
  <si>
    <t>https://www.holmgreenmortuaryinc.com/services.asp?page=odetail&amp;id=239</t>
  </si>
  <si>
    <t>Gregory A. Benigno</t>
  </si>
  <si>
    <t>Donald E. Roberts</t>
  </si>
  <si>
    <t>https://www.youtube.com/watch?v=FJ-fh1gIdS8</t>
  </si>
  <si>
    <t>Felicia A. Arafiles</t>
  </si>
  <si>
    <t>http://archive.news10.net/news/local/story.aspx?storyid=72610</t>
  </si>
  <si>
    <t>http://www.smartvoter.org/2002/11/05/ca/sj/vote/giovanetti_g/</t>
  </si>
  <si>
    <t>http://www.smartvoter.org/2008/11/04/ca/sj/vote/johnston_a/bio.html</t>
  </si>
  <si>
    <t>http://www.recordnet.com/article/20081223/A_NEWS/812230320</t>
  </si>
  <si>
    <t>http://www.lodinews.com/news/article_e967732a-ed16-5616-808c-e3b14ac5ab28.html</t>
  </si>
  <si>
    <t>Bill Bower</t>
  </si>
  <si>
    <t>http://srweb.ot.atl.publicus.com/article/20051113/Sports/511130328</t>
  </si>
  <si>
    <t>Don Wallace</t>
  </si>
  <si>
    <t>Linda La Torre</t>
  </si>
  <si>
    <t>Ed Stockton</t>
  </si>
  <si>
    <t>Gary Stallworth</t>
  </si>
  <si>
    <t>https://www.facebook.com/gary.stallworth?fref=hovercard and http://www.recordnet.com/article/20080418/A_NEWS/804180333</t>
  </si>
  <si>
    <t>George Kininmonth</t>
  </si>
  <si>
    <t>https://twitter.com/carealestateguy</t>
  </si>
  <si>
    <t>Jose Bernardo</t>
  </si>
  <si>
    <t>http://fhlbsf.com/about/news/releases/bernardo.aspx</t>
  </si>
  <si>
    <t>Mark L. Stebbins</t>
  </si>
  <si>
    <t>Robert Vargas</t>
  </si>
  <si>
    <t>http://stockton.granicus.com/MediaPlayer.php?view_id=63&amp;clip_id=382</t>
  </si>
  <si>
    <t>VIdeo</t>
  </si>
  <si>
    <t>Darcel Jackson</t>
  </si>
  <si>
    <t>http://www.bestolarides.com/about-steve.htm</t>
  </si>
  <si>
    <t>http://www.smartvoter.org/2008/06/03/ca/sj/vote/bestolarides_s/bio.html</t>
  </si>
  <si>
    <t>Carole Murphy</t>
  </si>
  <si>
    <t>https://www.linkedin.com/pub/carole-murphy/58/7a1/921</t>
  </si>
  <si>
    <t>https://www.highbeam.com/doc/1G1-145786176.html</t>
  </si>
  <si>
    <t>http://www.smartvoter.org/2002/03/05/ca/sj/vote/martin_l/</t>
  </si>
  <si>
    <t>Beverly Foster</t>
  </si>
  <si>
    <t>http://www.recordnet.com/article/20060810/OPED02/608100328</t>
  </si>
  <si>
    <t>Ramiro Reyes</t>
  </si>
  <si>
    <t>http://www.canofuneralhomestockton.com/memsol.cgi?user_id=896745</t>
  </si>
  <si>
    <t>https://bilingualweekly.wordpress.com/2011/12/29/two-latinas-vying-for-the-ca-assembly/#more-4774</t>
  </si>
  <si>
    <t>http://blogs.esanjoaquin.com/san-joaquin-county-photography/page/127/</t>
  </si>
  <si>
    <t>LINKED IN</t>
  </si>
  <si>
    <t>Motecuzoma Sanchez</t>
  </si>
  <si>
    <t>https://www.linkedin.com/in/motecuzoma-sanchez-a7a0a226</t>
  </si>
  <si>
    <t>Steve Gutierrez</t>
  </si>
  <si>
    <t>http://www.recordnet.com/apps/pbcs.dll/article?AID=/20090109/A_NEWS/901090326/-1/A_NEWS</t>
  </si>
  <si>
    <t>https://www.google.com/url?sa=t&amp;rct=j&amp;q=&amp;esrc=s&amp;source=web&amp;cd=1&amp;cad=rja&amp;uact=8&amp;ved=0ahUKEwjHqO6q15HOAhXMWj4KHbqkAUwQFggcMAA&amp;url=http%3A%2F%2Fwww.recordnet.com%2Farticle%2F20090109%2FA_NEWS%2F901090326&amp;usg=AFQjCNG6rxu7syH0Uxo8EEpFPgD5elaRWA&amp;sig2=x9UKdxA4udVS03cyCbqe1A</t>
  </si>
  <si>
    <t>Woody Roe Alspaugh</t>
  </si>
  <si>
    <t>http://blogs.esanjoaquin.com/stockton-metro-columnist/2014/01/27/woody-alspaugh/</t>
  </si>
  <si>
    <t>David Welch</t>
  </si>
  <si>
    <t>http://blogs.esanjoaquin.com/stockton-city-hall-blog/2008/04/22/ad-watch-lee-and-welch-in-latino-times-foster-no-longer-%E2%80%9Cthe-link%E2%80%9D/</t>
  </si>
  <si>
    <t>http://www.electkathymiller.com/</t>
  </si>
  <si>
    <t>Michael Merriweather</t>
  </si>
  <si>
    <t>https://www.youtube.com/watch?v=Xxz2m6ZaNY0</t>
  </si>
  <si>
    <t>Video</t>
  </si>
  <si>
    <t>Chris Eley</t>
  </si>
  <si>
    <t>http://idesignbybarbara.com/eleyforcouncil.com/bio.php</t>
  </si>
  <si>
    <t>http://www.christophereley.com/</t>
  </si>
  <si>
    <t>http://www.sallysavewater.com/diana-lowery-public-awareness-consultant</t>
  </si>
  <si>
    <t>https://www.linkedin.com/pub/dale-fritchen/74/800/3a3</t>
  </si>
  <si>
    <t>Wayne Richardson</t>
  </si>
  <si>
    <t>https://bilingualweekly.wordpress.com/2010/11/04/how-latinos-dems-fared-in-san-joaquin/</t>
  </si>
  <si>
    <t>Xochitl R. Paderes</t>
  </si>
  <si>
    <t>https://www.facebook.com/paderesforassembly13/info/?entry_point=about_section_header&amp;tab=page_info</t>
  </si>
  <si>
    <t>Arthur Murillo</t>
  </si>
  <si>
    <t>https://www.facebook.com/PaulCanepaForCountySupervisor</t>
  </si>
  <si>
    <t>http://randybayne.com/2014/04/paul-canepa-san-joaquin-county-supervisor/</t>
  </si>
  <si>
    <t>http://www.stocktongov.com/government/council/mayor.html</t>
  </si>
  <si>
    <t>https://ballotpedia.org/Anthony_Silva</t>
  </si>
  <si>
    <t>Gregory S. Pitsch</t>
  </si>
  <si>
    <t>https://www.facebook.com/GregPitschForMayor</t>
  </si>
  <si>
    <t>James "Jim" Butler</t>
  </si>
  <si>
    <t>http://www.smartvoter.org/2012/06/05/ca/sj/vote/butler_j/</t>
  </si>
  <si>
    <t>Jimmie M. Rishwain</t>
  </si>
  <si>
    <t>http://www.smartvoter.org/2012/06/05/ca/sj/vote/rishwain_j/</t>
  </si>
  <si>
    <t>http://www.recordnet.com/article/20150213/NEWS/150219804</t>
  </si>
  <si>
    <t>Tony Stevens</t>
  </si>
  <si>
    <t>http://www.recordnet.com/article/20120403/A_NEWS/204030317</t>
  </si>
  <si>
    <t>https://www.google.com/url?sa=t&amp;rct=j&amp;q=&amp;esrc=s&amp;source=web&amp;cd=3&amp;cad=rja&amp;uact=8&amp;ved=0ahUKEwimnKia2JHOAhXMOD4KHSryBvEQFggkMAI&amp;url=http%3A%2F%2Fwww.recordnet.com%2Farticle%2F20120303%2Fa_news%2F203030320&amp;usg=AFQjCNEuP1ewRPcQy9VAJw5MLK6CB7DOnw&amp;sig2=2Jl8mTUnWg_RLFj9JmGO-w&amp;bvm=bv.127984354,d.cWw</t>
  </si>
  <si>
    <t>https://www.facebook.com/votekathymiller/info?tab=page_info</t>
  </si>
  <si>
    <t>Randy Hatch</t>
  </si>
  <si>
    <t>https://www.facebook.com/pages/Randy-Hatch/353245718061076?sk=info&amp;tab=page_info</t>
  </si>
  <si>
    <t>https://www.sjgov.org/board/board%20meetings/agendas/012715/mg103439/as103448/ai105298/do105313/do_105313.pdf</t>
  </si>
  <si>
    <t>https://www.linkedin.com/pub/diana-lowery/2b/272/335?trk=seokp_posts_secondary_cluster_res_author_name</t>
  </si>
  <si>
    <t>http://moseszapien.com/news/</t>
  </si>
  <si>
    <t>http://moseszapien.com/about-moses/</t>
  </si>
  <si>
    <t>Theresa Velazquez</t>
  </si>
  <si>
    <t>http://www.smartvoter.org/2012/06/05/ca/sj/vote/velazquez_t/bio.html</t>
  </si>
  <si>
    <t>http://www.stocktongov.com/government/council/district6.html</t>
  </si>
  <si>
    <t>A.S. "Rick" Grewal</t>
  </si>
  <si>
    <t>http://latinotimes.org/2014/06/10/meet-stockton-city-council-candidate-rick-grewal/</t>
  </si>
  <si>
    <t>http://www.smartvoter.org/2014/06/03/ca/sj/vote/holman_e/bio.html</t>
  </si>
  <si>
    <t>Gene Acevedo</t>
  </si>
  <si>
    <t>http://votegeneacevedo.com/endorsements/</t>
  </si>
  <si>
    <t>https://www.facebook.com/geneacevedopublicfigure/info/?entry_point=page_nav_about_item&amp;tab=page_info</t>
  </si>
  <si>
    <t>http://motecuzoma.blogspot.com/</t>
  </si>
  <si>
    <t>http://www.stocktongov.com/government/council/district3.html</t>
  </si>
  <si>
    <t>https://www.facebook.com/christina.fugazi/</t>
  </si>
  <si>
    <t>Dyane Burgos Medina</t>
  </si>
  <si>
    <t>https://ballotpedia.org/Dyane_Burgos_Medina</t>
  </si>
  <si>
    <t>http://www.smartvoter.org/2008/11/04/ca/sj/vote/stebbins_m/</t>
  </si>
  <si>
    <r>
      <t>Faiz Zuberi:</t>
    </r>
    <r>
      <rPr>
        <sz val="10"/>
        <color rgb="FF333333"/>
        <rFont val="Georgia"/>
        <family val="1"/>
        <scheme val="minor"/>
      </rPr>
      <t> Realtor, Declined to file a Candidate Statement. Ran for City Council in 2004, came in dead last. http://anaheimlife.blogspot.com/2008/09/anaheim-city-council-race.html</t>
    </r>
  </si>
  <si>
    <t>Sandra Lee Fewer</t>
  </si>
  <si>
    <t>Tenth round</t>
  </si>
  <si>
    <t>Hillary Ronen</t>
  </si>
  <si>
    <t>Cheryl Davila</t>
  </si>
  <si>
    <t>Ben Bartlett</t>
  </si>
  <si>
    <t>School Director</t>
  </si>
  <si>
    <t>Ed Hernandez</t>
  </si>
  <si>
    <t>Pete Ballew</t>
  </si>
  <si>
    <t xml:space="preserve">Hispanic </t>
  </si>
  <si>
    <t xml:space="preserve">Asian </t>
  </si>
  <si>
    <t>Open Seat</t>
  </si>
  <si>
    <t>Year First Elected</t>
  </si>
  <si>
    <t>2014*</t>
  </si>
  <si>
    <t>2015*</t>
  </si>
  <si>
    <t>Winner's vote share in majority clinching round (% of vote)</t>
  </si>
  <si>
    <t>Winners vote share with race narrowed to top two (% of vote)</t>
  </si>
  <si>
    <t>Winner's vote share in final round (% of vote including exhausted ballots)</t>
  </si>
  <si>
    <t xml:space="preserve">1992 - 2016 </t>
  </si>
  <si>
    <t>2000 - 2016</t>
  </si>
  <si>
    <t>1992 - 2016</t>
  </si>
  <si>
    <t>Condorcet Winner?</t>
  </si>
  <si>
    <t>Election Characteristics</t>
  </si>
  <si>
    <t>Runoff Data</t>
  </si>
  <si>
    <t>Vote Distribution Data</t>
  </si>
  <si>
    <t>Election Outcome Data</t>
  </si>
  <si>
    <t>Turnout and Partisanship</t>
  </si>
  <si>
    <t>First Round Overvotes (invalid)</t>
  </si>
  <si>
    <t>First Round Overvotes (%)</t>
  </si>
  <si>
    <t>Overvote data</t>
  </si>
  <si>
    <t>Overvotes (n)</t>
  </si>
  <si>
    <t>Overvotes (%)</t>
  </si>
  <si>
    <t>Bullet Vote Data (RCV)</t>
  </si>
  <si>
    <t>Duplicate Votes Total (Bullet Vote) (n)</t>
  </si>
  <si>
    <t>Duplicates Total (%)</t>
  </si>
  <si>
    <t>Duplicate third rank (n)</t>
  </si>
  <si>
    <t>Duplicate third rank (%)</t>
  </si>
  <si>
    <t>Duplicate second rank (n)</t>
  </si>
  <si>
    <t>Duplicate second rank (%)</t>
  </si>
  <si>
    <t>Skipped ranking (n)</t>
  </si>
  <si>
    <t>Skipped ranking (%)</t>
  </si>
  <si>
    <t>Irregular Ballot Total (n)</t>
  </si>
  <si>
    <t>Skipped Rankings and Total Ballot Irregularities (Total Overvotes + Bullet Votes +Skipped Rankings)</t>
  </si>
  <si>
    <t>Ballot Exhaustion (RCV)</t>
  </si>
  <si>
    <t>Errors and omissions reported to FairVote Research Manager Theodore Landsman at tlandsman@fairvote.org</t>
  </si>
  <si>
    <t>Characteristics of local elections, California cities, 1995 - 2016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</si>
</sst>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4" formatCode="_(&quot;$&quot;* #,##0.00_);_(&quot;$&quot;* \(#,##0.00\);_(&quot;$&quot;* &quot;-&quot;??_);_(@_)"/>
    <numFmt numFmtId="43" formatCode="_(* #,##0.00_);_(* \(#,##0.00\);_(* &quot;-&quot;??_);_(@_)"/>
    <numFmt numFmtId="164" formatCode="&quot;$&quot;#,##0"/>
    <numFmt numFmtId="165" formatCode="0.0"/>
    <numFmt numFmtId="166" formatCode="_(&quot;$&quot;* #,##0_);_(&quot;$&quot;* \(#,##0\);_(&quot;$&quot;* &quot;-&quot;??_);_(@_)"/>
    <numFmt numFmtId="167" formatCode="_(* #,##0_);_(* \(#,##0\);_(* &quot;-&quot;??_);_(@_)"/>
    <numFmt numFmtId="168" formatCode="#,##0.0"/>
    <numFmt numFmtId="169" formatCode="_(* #,##0.0_);_(* \(#,##0.0\);_(* &quot;-&quot;??_);_(@_)"/>
  </numFmts>
  <fonts count="50">
    <font>
      <sz val="10"/>
      <color rgb="FF000000"/>
      <name val="Arial"/>
    </font>
    <font>
      <sz val="11"/>
      <color theme="1"/>
      <name val="Georgia"/>
      <family val="2"/>
      <scheme val="minor"/>
    </font>
    <font>
      <sz val="11"/>
      <color theme="1"/>
      <name val="Georgia"/>
      <family val="2"/>
      <scheme val="minor"/>
    </font>
    <font>
      <sz val="11"/>
      <color theme="1"/>
      <name val="Georgia"/>
      <family val="2"/>
      <scheme val="minor"/>
    </font>
    <font>
      <sz val="10"/>
      <name val="Arial"/>
      <family val="2"/>
    </font>
    <font>
      <sz val="11"/>
      <color rgb="FF000000"/>
      <name val="Calibri"/>
      <family val="2"/>
    </font>
    <font>
      <sz val="10"/>
      <color rgb="FF000000"/>
      <name val="Arial"/>
      <family val="2"/>
    </font>
    <font>
      <sz val="10"/>
      <name val="Calibri"/>
      <family val="2"/>
    </font>
    <font>
      <u/>
      <sz val="10"/>
      <color rgb="FF0000FF"/>
      <name val="Arial"/>
      <family val="2"/>
    </font>
    <font>
      <sz val="12"/>
      <color rgb="FF000000"/>
      <name val="Times New Roman"/>
      <family val="1"/>
    </font>
    <font>
      <b/>
      <sz val="16"/>
      <color rgb="FF000080"/>
      <name val="'Times New Roman'"/>
    </font>
    <font>
      <b/>
      <sz val="12"/>
      <color rgb="FF000080"/>
      <name val="'Times New Roman'"/>
    </font>
    <font>
      <sz val="11"/>
      <color rgb="FF1F497D"/>
      <name val="Calibri"/>
      <family val="2"/>
    </font>
    <font>
      <b/>
      <sz val="15"/>
      <color rgb="FF333333"/>
      <name val="'Open Sans'"/>
    </font>
    <font>
      <sz val="10"/>
      <color rgb="FF000000"/>
      <name val="Arial"/>
      <family val="2"/>
    </font>
    <font>
      <sz val="10"/>
      <name val="Montserrat"/>
      <family val="3"/>
      <scheme val="major"/>
    </font>
    <font>
      <sz val="10"/>
      <color rgb="FF000000"/>
      <name val="Montserrat"/>
      <family val="3"/>
      <scheme val="major"/>
    </font>
    <font>
      <sz val="11"/>
      <color rgb="FF000000"/>
      <name val="Montserrat"/>
      <family val="3"/>
      <scheme val="major"/>
    </font>
    <font>
      <sz val="11"/>
      <name val="Montserrat"/>
      <family val="3"/>
      <scheme val="major"/>
    </font>
    <font>
      <u/>
      <sz val="11"/>
      <color rgb="FF0000FF"/>
      <name val="Montserrat"/>
      <family val="3"/>
      <scheme val="major"/>
    </font>
    <font>
      <sz val="11"/>
      <color theme="9" tint="0.79998168889431442"/>
      <name val="Montserrat"/>
      <family val="3"/>
      <scheme val="major"/>
    </font>
    <font>
      <b/>
      <sz val="10"/>
      <color rgb="FF000000"/>
      <name val="Arial"/>
      <family val="2"/>
    </font>
    <font>
      <u/>
      <sz val="10"/>
      <color theme="10"/>
      <name val="Arial"/>
      <family val="2"/>
    </font>
    <font>
      <sz val="10"/>
      <color rgb="FF000000"/>
      <name val="Georgia"/>
      <family val="3"/>
      <scheme val="minor"/>
    </font>
    <font>
      <sz val="10"/>
      <name val="Georgia"/>
      <family val="3"/>
      <scheme val="minor"/>
    </font>
    <font>
      <sz val="10"/>
      <color rgb="FF000000"/>
      <name val="Calibri"/>
      <family val="2"/>
    </font>
    <font>
      <sz val="10"/>
      <color rgb="FF222222"/>
      <name val="Arial"/>
      <family val="2"/>
    </font>
    <font>
      <sz val="10"/>
      <color rgb="FF000000"/>
      <name val="Arial"/>
      <family val="2"/>
    </font>
    <font>
      <sz val="12"/>
      <color rgb="FF000000"/>
      <name val="Georgia"/>
      <family val="1"/>
      <scheme val="minor"/>
    </font>
    <font>
      <sz val="12"/>
      <name val="Georgia"/>
      <family val="1"/>
      <scheme val="minor"/>
    </font>
    <font>
      <sz val="12"/>
      <color rgb="FF252525"/>
      <name val="Georgia"/>
      <family val="1"/>
      <scheme val="minor"/>
    </font>
    <font>
      <sz val="16"/>
      <color rgb="FF000000"/>
      <name val="Montserrat"/>
      <family val="3"/>
      <scheme val="major"/>
    </font>
    <font>
      <sz val="11"/>
      <name val="Georgia"/>
      <family val="2"/>
      <scheme val="minor"/>
    </font>
    <font>
      <sz val="10"/>
      <color indexed="8"/>
      <name val="Arial"/>
      <family val="2"/>
    </font>
    <font>
      <u/>
      <sz val="10"/>
      <color indexed="12"/>
      <name val="Arial"/>
      <family val="2"/>
    </font>
    <font>
      <sz val="12"/>
      <color indexed="8"/>
      <name val="Georgia"/>
      <family val="1"/>
      <scheme val="minor"/>
    </font>
    <font>
      <sz val="10"/>
      <color rgb="FF000000"/>
      <name val="Georgia"/>
      <family val="1"/>
      <scheme val="minor"/>
    </font>
    <font>
      <b/>
      <sz val="12.1"/>
      <color rgb="FF000000"/>
      <name val="Georgia"/>
      <family val="1"/>
      <scheme val="minor"/>
    </font>
    <font>
      <sz val="12.1"/>
      <color rgb="FF000000"/>
      <name val="Georgia"/>
      <family val="1"/>
      <scheme val="minor"/>
    </font>
    <font>
      <sz val="10"/>
      <color theme="1"/>
      <name val="Georgia"/>
      <family val="1"/>
      <scheme val="minor"/>
    </font>
    <font>
      <u/>
      <sz val="10"/>
      <color theme="10"/>
      <name val="Georgia"/>
      <family val="1"/>
      <scheme val="minor"/>
    </font>
    <font>
      <b/>
      <i/>
      <sz val="10"/>
      <color rgb="FF333333"/>
      <name val="Georgia"/>
      <family val="1"/>
      <scheme val="minor"/>
    </font>
    <font>
      <sz val="10"/>
      <color rgb="FF333333"/>
      <name val="Georgia"/>
      <family val="1"/>
      <scheme val="minor"/>
    </font>
    <font>
      <sz val="11"/>
      <color rgb="FF000000"/>
      <name val="Georgia"/>
      <family val="1"/>
      <scheme val="minor"/>
    </font>
    <font>
      <sz val="11"/>
      <color rgb="FF484950"/>
      <name val="Georgia"/>
      <family val="1"/>
      <scheme val="minor"/>
    </font>
    <font>
      <sz val="10"/>
      <color rgb="FF0000FF"/>
      <name val="Georgia"/>
      <family val="1"/>
      <scheme val="minor"/>
    </font>
    <font>
      <sz val="12"/>
      <color rgb="FF222222"/>
      <name val="Georgia"/>
      <family val="1"/>
      <scheme val="minor"/>
    </font>
    <font>
      <strike/>
      <sz val="12.1"/>
      <color rgb="FF000000"/>
      <name val="Georgia"/>
      <family val="1"/>
      <scheme val="minor"/>
    </font>
    <font>
      <strike/>
      <sz val="10"/>
      <color theme="1"/>
      <name val="Georgia"/>
      <family val="1"/>
      <scheme val="minor"/>
    </font>
    <font>
      <sz val="10"/>
      <color rgb="FF000000"/>
      <name val="Arial"/>
      <family val="2"/>
    </font>
  </fonts>
  <fills count="17">
    <fill>
      <patternFill patternType="none"/>
    </fill>
    <fill>
      <patternFill patternType="gray125"/>
    </fill>
    <fill>
      <patternFill patternType="solid">
        <fgColor rgb="FFFFFFFF"/>
        <bgColor rgb="FFFFFFFF"/>
      </patternFill>
    </fill>
    <fill>
      <patternFill patternType="solid">
        <fgColor theme="1"/>
        <bgColor rgb="FFCFE2F3"/>
      </patternFill>
    </fill>
    <fill>
      <patternFill patternType="solid">
        <fgColor theme="3" tint="0.79998168889431442"/>
        <bgColor rgb="FFCFE2F3"/>
      </patternFill>
    </fill>
    <fill>
      <patternFill patternType="solid">
        <fgColor theme="1"/>
        <bgColor indexed="64"/>
      </patternFill>
    </fill>
    <fill>
      <patternFill patternType="solid">
        <fgColor theme="3" tint="0.39997558519241921"/>
        <bgColor indexed="64"/>
      </patternFill>
    </fill>
    <fill>
      <patternFill patternType="solid">
        <fgColor theme="4"/>
        <bgColor rgb="FFCFE2F3"/>
      </patternFill>
    </fill>
    <fill>
      <patternFill patternType="solid">
        <fgColor theme="8" tint="-0.249977111117893"/>
        <bgColor rgb="FFCFE2F3"/>
      </patternFill>
    </fill>
    <fill>
      <patternFill patternType="solid">
        <fgColor theme="9" tint="-0.499984740745262"/>
        <bgColor indexed="64"/>
      </patternFill>
    </fill>
    <fill>
      <patternFill patternType="solid">
        <fgColor theme="9" tint="-0.499984740745262"/>
        <bgColor rgb="FFCFE2F3"/>
      </patternFill>
    </fill>
    <fill>
      <patternFill patternType="solid">
        <fgColor theme="9"/>
        <bgColor indexed="64"/>
      </patternFill>
    </fill>
    <fill>
      <patternFill patternType="solid">
        <fgColor theme="0"/>
        <bgColor indexed="64"/>
      </patternFill>
    </fill>
    <fill>
      <patternFill patternType="solid">
        <fgColor rgb="FF4A86E8"/>
        <bgColor indexed="64"/>
      </patternFill>
    </fill>
    <fill>
      <patternFill patternType="solid">
        <fgColor rgb="FFFFFF00"/>
        <bgColor indexed="64"/>
      </patternFill>
    </fill>
    <fill>
      <patternFill patternType="solid">
        <fgColor rgb="FFFFFFFF"/>
        <bgColor indexed="64"/>
      </patternFill>
    </fill>
    <fill>
      <patternFill patternType="solid">
        <fgColor theme="7"/>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style="thin">
        <color indexed="64"/>
      </top>
      <bottom style="double">
        <color indexed="64"/>
      </bottom>
      <diagonal/>
    </border>
    <border>
      <left style="medium">
        <color indexed="8"/>
      </left>
      <right/>
      <top/>
      <bottom/>
      <diagonal/>
    </border>
    <border>
      <left style="medium">
        <color rgb="FFCCCCCC"/>
      </left>
      <right style="medium">
        <color rgb="FFCCCCCC"/>
      </right>
      <top/>
      <bottom/>
      <diagonal/>
    </border>
  </borders>
  <cellStyleXfs count="15">
    <xf numFmtId="0" fontId="0" fillId="0" borderId="0"/>
    <xf numFmtId="44" fontId="14" fillId="0" borderId="0" applyFont="0" applyFill="0" applyBorder="0" applyAlignment="0" applyProtection="0"/>
    <xf numFmtId="9" fontId="14" fillId="0" borderId="0" applyFont="0" applyFill="0" applyBorder="0" applyAlignment="0" applyProtection="0"/>
    <xf numFmtId="0" fontId="22" fillId="0" borderId="0" applyNumberFormat="0" applyFill="0" applyBorder="0" applyAlignment="0" applyProtection="0"/>
    <xf numFmtId="43" fontId="27" fillId="0" borderId="0" applyFont="0" applyFill="0" applyBorder="0" applyAlignment="0" applyProtection="0"/>
    <xf numFmtId="0" fontId="3" fillId="0" borderId="0"/>
    <xf numFmtId="0" fontId="33" fillId="0" borderId="0">
      <alignment vertical="top"/>
    </xf>
    <xf numFmtId="0" fontId="34" fillId="0" borderId="0" applyNumberFormat="0" applyFill="0" applyBorder="0" applyAlignment="0" applyProtection="0">
      <alignment vertical="top"/>
      <protection locked="0"/>
    </xf>
    <xf numFmtId="0" fontId="2" fillId="0" borderId="0"/>
    <xf numFmtId="44"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1" fillId="0" borderId="0"/>
    <xf numFmtId="0" fontId="1" fillId="0" borderId="0"/>
    <xf numFmtId="0" fontId="49" fillId="0" borderId="0"/>
  </cellStyleXfs>
  <cellXfs count="214">
    <xf numFmtId="0" fontId="0" fillId="0" borderId="0" xfId="0" applyFont="1" applyAlignment="1"/>
    <xf numFmtId="0" fontId="6" fillId="0" borderId="0" xfId="0" applyFont="1" applyAlignment="1"/>
    <xf numFmtId="0" fontId="0" fillId="0" borderId="0" xfId="0" applyFont="1" applyAlignment="1"/>
    <xf numFmtId="0" fontId="0" fillId="0" borderId="0" xfId="0" applyFont="1" applyAlignment="1"/>
    <xf numFmtId="0" fontId="15" fillId="0" borderId="0" xfId="0" applyFont="1" applyAlignment="1"/>
    <xf numFmtId="0" fontId="16" fillId="0" borderId="0" xfId="0" applyFont="1" applyAlignment="1"/>
    <xf numFmtId="0" fontId="16" fillId="0" borderId="0" xfId="0" applyFont="1" applyAlignment="1">
      <alignment horizontal="left"/>
    </xf>
    <xf numFmtId="0" fontId="18" fillId="4" borderId="0" xfId="0" applyFont="1" applyFill="1" applyAlignment="1">
      <alignment horizontal="center"/>
    </xf>
    <xf numFmtId="0" fontId="15" fillId="0" borderId="0" xfId="0" applyFont="1" applyFill="1" applyAlignment="1"/>
    <xf numFmtId="0" fontId="18" fillId="4" borderId="0" xfId="0" applyFont="1" applyFill="1" applyAlignment="1">
      <alignment horizontal="center" vertical="center"/>
    </xf>
    <xf numFmtId="0" fontId="20" fillId="7" borderId="0" xfId="0" applyFont="1" applyFill="1" applyAlignment="1">
      <alignment horizontal="center" vertical="center" wrapText="1"/>
    </xf>
    <xf numFmtId="0" fontId="18" fillId="4" borderId="0" xfId="0" applyFont="1" applyFill="1" applyAlignment="1">
      <alignment horizontal="center" vertical="center" wrapText="1"/>
    </xf>
    <xf numFmtId="0" fontId="0" fillId="0" borderId="0" xfId="0" applyFont="1" applyAlignment="1">
      <alignment horizontal="center" vertical="center"/>
    </xf>
    <xf numFmtId="0" fontId="20" fillId="3" borderId="0" xfId="0" applyFont="1" applyFill="1" applyAlignment="1">
      <alignment horizontal="center" vertical="center" wrapText="1"/>
    </xf>
    <xf numFmtId="0" fontId="20" fillId="5" borderId="0" xfId="0" applyFont="1" applyFill="1" applyAlignment="1">
      <alignment horizontal="center" vertical="center" wrapText="1"/>
    </xf>
    <xf numFmtId="0" fontId="20" fillId="5" borderId="0" xfId="0" applyFont="1" applyFill="1" applyAlignment="1">
      <alignment vertical="center"/>
    </xf>
    <xf numFmtId="0" fontId="20" fillId="5" borderId="0" xfId="0" applyFont="1" applyFill="1" applyAlignment="1">
      <alignment vertical="center" wrapText="1"/>
    </xf>
    <xf numFmtId="0" fontId="20" fillId="10" borderId="0" xfId="0" applyFont="1" applyFill="1" applyAlignment="1">
      <alignment horizontal="center" vertical="center" wrapText="1"/>
    </xf>
    <xf numFmtId="0" fontId="0" fillId="0" borderId="0" xfId="0" applyFont="1" applyAlignment="1"/>
    <xf numFmtId="0" fontId="0" fillId="0" borderId="0" xfId="0" applyFont="1" applyAlignment="1"/>
    <xf numFmtId="0" fontId="20" fillId="10" borderId="0" xfId="0" applyFont="1" applyFill="1" applyAlignment="1">
      <alignment vertical="center" wrapText="1"/>
    </xf>
    <xf numFmtId="0" fontId="0" fillId="0" borderId="0" xfId="0" applyFont="1" applyAlignment="1"/>
    <xf numFmtId="0" fontId="20" fillId="8" borderId="0" xfId="0" applyFont="1" applyFill="1" applyAlignment="1">
      <alignment horizontal="center" vertical="center" wrapText="1"/>
    </xf>
    <xf numFmtId="0" fontId="22" fillId="0" borderId="0" xfId="3" applyAlignment="1"/>
    <xf numFmtId="0" fontId="4" fillId="0" borderId="0" xfId="0" applyFont="1" applyFill="1" applyAlignment="1"/>
    <xf numFmtId="0" fontId="18" fillId="0" borderId="0" xfId="0" applyFont="1" applyFill="1" applyAlignment="1">
      <alignment vertical="center" wrapText="1"/>
    </xf>
    <xf numFmtId="0" fontId="18" fillId="0" borderId="0" xfId="0" applyFont="1" applyFill="1" applyAlignment="1">
      <alignment vertical="center"/>
    </xf>
    <xf numFmtId="9" fontId="20" fillId="10" borderId="0" xfId="2" applyFont="1" applyFill="1" applyAlignment="1">
      <alignment horizontal="center" vertical="center" wrapText="1"/>
    </xf>
    <xf numFmtId="0" fontId="0" fillId="0" borderId="0" xfId="0" applyFont="1" applyAlignment="1"/>
    <xf numFmtId="0" fontId="23" fillId="0" borderId="0" xfId="0" applyFont="1" applyAlignment="1">
      <alignment wrapText="1"/>
    </xf>
    <xf numFmtId="0" fontId="24" fillId="0" borderId="0" xfId="0" applyFont="1" applyAlignment="1">
      <alignment horizontal="left" wrapText="1"/>
    </xf>
    <xf numFmtId="0" fontId="22" fillId="0" borderId="0" xfId="3" applyAlignment="1">
      <alignment vertical="center" wrapText="1"/>
    </xf>
    <xf numFmtId="0" fontId="0" fillId="0" borderId="0" xfId="0" applyFont="1" applyAlignment="1"/>
    <xf numFmtId="0" fontId="0" fillId="0" borderId="0" xfId="0" applyFont="1" applyAlignment="1"/>
    <xf numFmtId="167" fontId="0" fillId="0" borderId="0" xfId="0" applyNumberFormat="1" applyFont="1" applyAlignment="1"/>
    <xf numFmtId="167" fontId="20" fillId="8" borderId="0" xfId="0" applyNumberFormat="1" applyFont="1" applyFill="1" applyAlignment="1">
      <alignment horizontal="center" vertical="center" wrapText="1"/>
    </xf>
    <xf numFmtId="167" fontId="20" fillId="7" borderId="0" xfId="0" applyNumberFormat="1" applyFont="1" applyFill="1" applyAlignment="1">
      <alignment horizontal="center" vertical="center" wrapText="1"/>
    </xf>
    <xf numFmtId="2" fontId="16" fillId="0" borderId="0" xfId="2" applyNumberFormat="1" applyFont="1" applyAlignment="1"/>
    <xf numFmtId="0" fontId="0" fillId="0" borderId="0" xfId="0" applyFont="1" applyAlignment="1"/>
    <xf numFmtId="0" fontId="18" fillId="0" borderId="0" xfId="0" applyFont="1" applyFill="1" applyAlignment="1">
      <alignment horizontal="left" vertical="center" wrapText="1"/>
    </xf>
    <xf numFmtId="0" fontId="0" fillId="0" borderId="0" xfId="0" applyFont="1" applyAlignment="1">
      <alignment horizontal="left"/>
    </xf>
    <xf numFmtId="0" fontId="24" fillId="0" borderId="0" xfId="0" applyFont="1" applyAlignment="1">
      <alignment wrapText="1"/>
    </xf>
    <xf numFmtId="0" fontId="24" fillId="0" borderId="0" xfId="0" applyFont="1" applyFill="1" applyAlignment="1">
      <alignment wrapText="1"/>
    </xf>
    <xf numFmtId="0" fontId="18" fillId="0" borderId="2" xfId="0" applyFont="1" applyFill="1" applyBorder="1" applyAlignment="1">
      <alignment horizontal="left" vertical="center" wrapText="1"/>
    </xf>
    <xf numFmtId="0" fontId="18" fillId="0" borderId="2" xfId="0" applyFont="1" applyFill="1" applyBorder="1" applyAlignment="1">
      <alignment vertical="center" wrapText="1"/>
    </xf>
    <xf numFmtId="0" fontId="28" fillId="0" borderId="0" xfId="0" applyFont="1" applyFill="1" applyAlignment="1"/>
    <xf numFmtId="0" fontId="29" fillId="0" borderId="0" xfId="0" applyFont="1" applyFill="1" applyAlignment="1">
      <alignment horizontal="left"/>
    </xf>
    <xf numFmtId="0" fontId="28" fillId="0" borderId="0" xfId="0" applyFont="1" applyFill="1" applyAlignment="1">
      <alignment horizontal="left"/>
    </xf>
    <xf numFmtId="167" fontId="29" fillId="0" borderId="0" xfId="0" applyNumberFormat="1" applyFont="1" applyFill="1" applyAlignment="1">
      <alignment horizontal="left"/>
    </xf>
    <xf numFmtId="0" fontId="29" fillId="0" borderId="0" xfId="0" applyFont="1" applyFill="1" applyAlignment="1"/>
    <xf numFmtId="165" fontId="29" fillId="0" borderId="0" xfId="0" applyNumberFormat="1" applyFont="1" applyFill="1" applyAlignment="1"/>
    <xf numFmtId="1" fontId="29" fillId="0" borderId="0" xfId="0" applyNumberFormat="1" applyFont="1" applyFill="1" applyAlignment="1"/>
    <xf numFmtId="167" fontId="29" fillId="0" borderId="0" xfId="4" applyNumberFormat="1" applyFont="1" applyFill="1" applyAlignment="1"/>
    <xf numFmtId="165" fontId="29" fillId="0" borderId="0" xfId="2" applyNumberFormat="1" applyFont="1" applyFill="1" applyAlignment="1"/>
    <xf numFmtId="0" fontId="29" fillId="0" borderId="0" xfId="2" applyNumberFormat="1" applyFont="1" applyFill="1" applyAlignment="1"/>
    <xf numFmtId="165" fontId="28" fillId="0" borderId="0" xfId="0" applyNumberFormat="1" applyFont="1" applyFill="1" applyAlignment="1"/>
    <xf numFmtId="164" fontId="29" fillId="0" borderId="0" xfId="0" applyNumberFormat="1" applyFont="1" applyFill="1" applyAlignment="1">
      <alignment horizontal="left"/>
    </xf>
    <xf numFmtId="167" fontId="28" fillId="0" borderId="0" xfId="4" applyNumberFormat="1" applyFont="1" applyFill="1" applyAlignment="1">
      <alignment horizontal="right"/>
    </xf>
    <xf numFmtId="165" fontId="28" fillId="0" borderId="0" xfId="2" applyNumberFormat="1" applyFont="1" applyFill="1" applyAlignment="1"/>
    <xf numFmtId="0" fontId="29" fillId="0" borderId="0" xfId="0" applyFont="1" applyFill="1" applyAlignment="1">
      <alignment horizontal="center"/>
    </xf>
    <xf numFmtId="167" fontId="28" fillId="0" borderId="0" xfId="0" applyNumberFormat="1" applyFont="1" applyFill="1" applyAlignment="1">
      <alignment horizontal="right"/>
    </xf>
    <xf numFmtId="168" fontId="29" fillId="0" borderId="0" xfId="0" applyNumberFormat="1" applyFont="1" applyFill="1" applyAlignment="1"/>
    <xf numFmtId="4" fontId="29" fillId="0" borderId="0" xfId="0" applyNumberFormat="1" applyFont="1" applyFill="1" applyAlignment="1"/>
    <xf numFmtId="0" fontId="28" fillId="0" borderId="0" xfId="0" applyFont="1" applyAlignment="1"/>
    <xf numFmtId="167" fontId="28" fillId="0" borderId="0" xfId="4" applyNumberFormat="1" applyFont="1" applyFill="1" applyAlignment="1"/>
    <xf numFmtId="167" fontId="28" fillId="0" borderId="0" xfId="0" applyNumberFormat="1" applyFont="1" applyFill="1" applyAlignment="1"/>
    <xf numFmtId="168" fontId="29" fillId="0" borderId="0" xfId="0" applyNumberFormat="1" applyFont="1" applyFill="1"/>
    <xf numFmtId="4" fontId="29" fillId="0" borderId="0" xfId="0" applyNumberFormat="1" applyFont="1" applyFill="1"/>
    <xf numFmtId="167" fontId="29" fillId="0" borderId="0" xfId="4" applyNumberFormat="1" applyFont="1" applyFill="1" applyAlignment="1">
      <alignment horizontal="right"/>
    </xf>
    <xf numFmtId="167" fontId="29" fillId="0" borderId="0" xfId="0" applyNumberFormat="1" applyFont="1" applyFill="1" applyAlignment="1">
      <alignment horizontal="right"/>
    </xf>
    <xf numFmtId="167" fontId="29" fillId="0" borderId="0" xfId="4" applyNumberFormat="1" applyFont="1" applyFill="1"/>
    <xf numFmtId="0" fontId="29" fillId="0" borderId="0" xfId="0" applyFont="1" applyFill="1" applyAlignment="1">
      <alignment horizontal="left" wrapText="1"/>
    </xf>
    <xf numFmtId="4" fontId="29" fillId="0" borderId="0" xfId="0" applyNumberFormat="1" applyFont="1" applyFill="1" applyAlignment="1">
      <alignment horizontal="right"/>
    </xf>
    <xf numFmtId="165" fontId="29" fillId="0" borderId="0" xfId="2" applyNumberFormat="1" applyFont="1" applyFill="1" applyAlignment="1">
      <alignment horizontal="right"/>
    </xf>
    <xf numFmtId="0" fontId="29" fillId="0" borderId="0" xfId="0" applyFont="1" applyFill="1" applyAlignment="1">
      <alignment horizontal="right"/>
    </xf>
    <xf numFmtId="167" fontId="29" fillId="0" borderId="0" xfId="4" applyNumberFormat="1" applyFont="1" applyFill="1" applyAlignment="1">
      <alignment horizontal="left"/>
    </xf>
    <xf numFmtId="167" fontId="28" fillId="0" borderId="0" xfId="0" applyNumberFormat="1" applyFont="1" applyFill="1" applyAlignment="1">
      <alignment horizontal="left"/>
    </xf>
    <xf numFmtId="0" fontId="28" fillId="0" borderId="0" xfId="0" applyFont="1" applyAlignment="1">
      <alignment horizontal="left"/>
    </xf>
    <xf numFmtId="0" fontId="29" fillId="0" borderId="0" xfId="0" applyFont="1" applyAlignment="1"/>
    <xf numFmtId="166" fontId="29" fillId="0" borderId="0" xfId="1" applyNumberFormat="1" applyFont="1" applyFill="1" applyAlignment="1">
      <alignment horizontal="left"/>
    </xf>
    <xf numFmtId="0" fontId="30" fillId="2" borderId="0" xfId="0" applyFont="1" applyFill="1" applyAlignment="1"/>
    <xf numFmtId="0" fontId="29" fillId="0" borderId="0" xfId="0" applyFont="1" applyFill="1" applyAlignment="1">
      <alignment wrapText="1"/>
    </xf>
    <xf numFmtId="168" fontId="28" fillId="0" borderId="0" xfId="0" applyNumberFormat="1" applyFont="1" applyFill="1" applyAlignment="1"/>
    <xf numFmtId="4" fontId="28" fillId="0" borderId="0" xfId="0" applyNumberFormat="1" applyFont="1" applyFill="1" applyAlignment="1"/>
    <xf numFmtId="0" fontId="28" fillId="0" borderId="0" xfId="0" applyFont="1" applyFill="1"/>
    <xf numFmtId="0" fontId="31" fillId="0" borderId="0" xfId="0" applyFont="1" applyAlignment="1"/>
    <xf numFmtId="0" fontId="18" fillId="11" borderId="0" xfId="0" applyFont="1" applyFill="1" applyAlignment="1">
      <alignment horizontal="center" vertical="center" wrapText="1"/>
    </xf>
    <xf numFmtId="0" fontId="4" fillId="12" borderId="0" xfId="0" applyFont="1" applyFill="1" applyAlignment="1">
      <alignment wrapText="1"/>
    </xf>
    <xf numFmtId="0" fontId="18" fillId="12" borderId="0" xfId="0" applyFont="1" applyFill="1" applyAlignment="1">
      <alignment horizontal="center" vertical="center"/>
    </xf>
    <xf numFmtId="0" fontId="29" fillId="0" borderId="0" xfId="0" applyFont="1" applyAlignment="1">
      <alignment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0" fillId="0" borderId="0" xfId="0" applyFont="1" applyFill="1" applyAlignment="1"/>
    <xf numFmtId="0" fontId="0" fillId="0" borderId="0" xfId="0" applyFont="1" applyAlignment="1"/>
    <xf numFmtId="0" fontId="0" fillId="0" borderId="0" xfId="0" applyFont="1" applyAlignment="1"/>
    <xf numFmtId="0" fontId="17" fillId="6" borderId="0" xfId="0" applyFont="1" applyFill="1" applyAlignment="1">
      <alignment horizontal="center"/>
    </xf>
    <xf numFmtId="0" fontId="0" fillId="0" borderId="0" xfId="0" applyFont="1" applyAlignment="1"/>
    <xf numFmtId="0" fontId="0" fillId="0" borderId="0" xfId="0" applyFont="1" applyAlignment="1"/>
    <xf numFmtId="10" fontId="29" fillId="0" borderId="0" xfId="2" applyNumberFormat="1" applyFont="1" applyFill="1" applyAlignment="1"/>
    <xf numFmtId="0" fontId="3" fillId="0" borderId="0" xfId="5"/>
    <xf numFmtId="1" fontId="0" fillId="0" borderId="0" xfId="0" applyNumberFormat="1" applyBorder="1" applyAlignment="1">
      <alignment vertical="top"/>
    </xf>
    <xf numFmtId="0" fontId="16" fillId="0" borderId="0" xfId="0" applyFont="1" applyAlignment="1"/>
    <xf numFmtId="165" fontId="29" fillId="0" borderId="0" xfId="0" applyNumberFormat="1" applyFont="1" applyFill="1" applyAlignment="1"/>
    <xf numFmtId="167" fontId="29" fillId="0" borderId="0" xfId="11" applyNumberFormat="1" applyFont="1" applyFill="1" applyAlignment="1"/>
    <xf numFmtId="165" fontId="29" fillId="0" borderId="0" xfId="10" applyNumberFormat="1" applyFont="1" applyFill="1" applyAlignment="1"/>
    <xf numFmtId="165" fontId="28" fillId="0" borderId="0" xfId="0" applyNumberFormat="1" applyFont="1" applyFill="1" applyAlignment="1"/>
    <xf numFmtId="167" fontId="28" fillId="0" borderId="0" xfId="11" applyNumberFormat="1" applyFont="1" applyFill="1" applyAlignment="1"/>
    <xf numFmtId="167" fontId="29" fillId="0" borderId="0" xfId="11" applyNumberFormat="1" applyFont="1" applyFill="1"/>
    <xf numFmtId="165" fontId="28" fillId="0" borderId="0" xfId="0" applyNumberFormat="1" applyFont="1" applyFill="1" applyAlignment="1">
      <alignment horizontal="right"/>
    </xf>
    <xf numFmtId="165" fontId="29" fillId="0" borderId="0" xfId="0" applyNumberFormat="1" applyFont="1" applyFill="1" applyAlignment="1">
      <alignment horizontal="right"/>
    </xf>
    <xf numFmtId="167" fontId="29" fillId="0" borderId="0" xfId="11" applyNumberFormat="1" applyFont="1" applyFill="1" applyAlignment="1">
      <alignment horizontal="left"/>
    </xf>
    <xf numFmtId="165" fontId="28" fillId="0" borderId="0" xfId="0" applyNumberFormat="1" applyFont="1" applyFill="1"/>
    <xf numFmtId="165" fontId="28" fillId="0" borderId="0" xfId="10" applyNumberFormat="1" applyFont="1" applyFill="1" applyAlignment="1">
      <alignment horizontal="right"/>
    </xf>
    <xf numFmtId="165" fontId="29" fillId="0" borderId="0" xfId="0" applyNumberFormat="1" applyFont="1" applyFill="1"/>
    <xf numFmtId="43" fontId="16" fillId="0" borderId="0" xfId="0" applyNumberFormat="1" applyFont="1" applyAlignment="1"/>
    <xf numFmtId="0" fontId="1" fillId="0" borderId="0" xfId="12"/>
    <xf numFmtId="3" fontId="32" fillId="0" borderId="0" xfId="12" applyNumberFormat="1" applyFont="1"/>
    <xf numFmtId="0" fontId="29" fillId="0" borderId="0" xfId="0" applyNumberFormat="1" applyFont="1" applyFill="1" applyAlignment="1"/>
    <xf numFmtId="3" fontId="35" fillId="0" borderId="0" xfId="0" applyNumberFormat="1" applyFont="1" applyFill="1" applyBorder="1" applyAlignment="1">
      <alignment horizontal="right" vertical="top" wrapText="1"/>
    </xf>
    <xf numFmtId="167" fontId="29" fillId="0" borderId="3" xfId="11" applyNumberFormat="1" applyFont="1" applyFill="1" applyBorder="1" applyAlignment="1"/>
    <xf numFmtId="167" fontId="29" fillId="0" borderId="0" xfId="11" applyNumberFormat="1" applyFont="1" applyFill="1" applyBorder="1" applyAlignment="1"/>
    <xf numFmtId="0" fontId="28" fillId="0" borderId="0" xfId="0" applyFont="1" applyFill="1" applyBorder="1" applyAlignment="1">
      <alignment horizontal="left"/>
    </xf>
    <xf numFmtId="0" fontId="28" fillId="0" borderId="1" xfId="0" applyFont="1" applyFill="1" applyBorder="1" applyAlignment="1">
      <alignment horizontal="left"/>
    </xf>
    <xf numFmtId="0" fontId="36" fillId="0" borderId="0" xfId="0" applyFont="1"/>
    <xf numFmtId="0" fontId="37" fillId="0" borderId="1" xfId="0" applyFont="1" applyBorder="1" applyAlignment="1">
      <alignment horizontal="center" wrapText="1"/>
    </xf>
    <xf numFmtId="0" fontId="37" fillId="0" borderId="1" xfId="0" applyFont="1" applyFill="1" applyBorder="1" applyAlignment="1">
      <alignment horizontal="center" wrapText="1"/>
    </xf>
    <xf numFmtId="0" fontId="36" fillId="0" borderId="0" xfId="0" applyFont="1" applyAlignment="1"/>
    <xf numFmtId="0" fontId="36" fillId="0" borderId="0" xfId="0" applyFont="1" applyAlignment="1">
      <alignment horizontal="left"/>
    </xf>
    <xf numFmtId="0" fontId="38" fillId="0" borderId="1" xfId="0" applyFont="1" applyBorder="1" applyAlignment="1">
      <alignment horizontal="left"/>
    </xf>
    <xf numFmtId="0" fontId="38" fillId="0" borderId="1" xfId="0" applyFont="1" applyFill="1" applyBorder="1" applyAlignment="1">
      <alignment horizontal="left"/>
    </xf>
    <xf numFmtId="0" fontId="39" fillId="0" borderId="1" xfId="0" applyFont="1" applyBorder="1" applyAlignment="1">
      <alignment horizontal="left" wrapText="1"/>
    </xf>
    <xf numFmtId="0" fontId="36" fillId="0" borderId="0" xfId="0" applyFont="1" applyBorder="1"/>
    <xf numFmtId="0" fontId="40" fillId="0" borderId="1" xfId="3" applyFont="1" applyBorder="1" applyAlignment="1">
      <alignment horizontal="left"/>
    </xf>
    <xf numFmtId="0" fontId="36" fillId="0" borderId="0" xfId="0" applyFont="1" applyAlignment="1">
      <alignment horizontal="right"/>
    </xf>
    <xf numFmtId="0" fontId="28" fillId="0" borderId="0" xfId="0" applyFont="1" applyBorder="1"/>
    <xf numFmtId="0" fontId="38" fillId="0" borderId="0" xfId="0" applyFont="1" applyFill="1" applyBorder="1" applyAlignment="1">
      <alignment horizontal="left"/>
    </xf>
    <xf numFmtId="0" fontId="39" fillId="0" borderId="0" xfId="0" applyFont="1" applyBorder="1" applyAlignment="1">
      <alignment wrapText="1"/>
    </xf>
    <xf numFmtId="0" fontId="41" fillId="0" borderId="0" xfId="0" applyFont="1" applyBorder="1"/>
    <xf numFmtId="0" fontId="40" fillId="13" borderId="1" xfId="3" applyFont="1" applyFill="1" applyBorder="1" applyAlignment="1">
      <alignment horizontal="left"/>
    </xf>
    <xf numFmtId="0" fontId="39" fillId="0" borderId="0" xfId="0" applyFont="1" applyBorder="1" applyAlignment="1"/>
    <xf numFmtId="0" fontId="40" fillId="0" borderId="0" xfId="3" applyFont="1" applyBorder="1"/>
    <xf numFmtId="0" fontId="43" fillId="0" borderId="0" xfId="0" applyFont="1" applyBorder="1"/>
    <xf numFmtId="0" fontId="44" fillId="0" borderId="0" xfId="0" applyFont="1" applyBorder="1"/>
    <xf numFmtId="0" fontId="36" fillId="14" borderId="1" xfId="0" applyFont="1" applyFill="1" applyBorder="1" applyAlignment="1">
      <alignment horizontal="left" wrapText="1"/>
    </xf>
    <xf numFmtId="0" fontId="38" fillId="13" borderId="1" xfId="0" applyFont="1" applyFill="1" applyBorder="1" applyAlignment="1">
      <alignment horizontal="left"/>
    </xf>
    <xf numFmtId="0" fontId="38" fillId="15" borderId="1" xfId="0" applyFont="1" applyFill="1" applyBorder="1" applyAlignment="1">
      <alignment horizontal="left"/>
    </xf>
    <xf numFmtId="0" fontId="36" fillId="0" borderId="4" xfId="0" applyFont="1" applyBorder="1"/>
    <xf numFmtId="0" fontId="36" fillId="0" borderId="1" xfId="0" applyFont="1" applyBorder="1"/>
    <xf numFmtId="0" fontId="40" fillId="15" borderId="1" xfId="3" applyFont="1" applyFill="1" applyBorder="1" applyAlignment="1">
      <alignment horizontal="left" wrapText="1"/>
    </xf>
    <xf numFmtId="0" fontId="38" fillId="0" borderId="1" xfId="0" applyFont="1" applyFill="1" applyBorder="1" applyAlignment="1">
      <alignment horizontal="left" wrapText="1"/>
    </xf>
    <xf numFmtId="0" fontId="28" fillId="0" borderId="1" xfId="0" applyFont="1" applyBorder="1" applyAlignment="1">
      <alignment horizontal="left" vertical="center" indent="1"/>
    </xf>
    <xf numFmtId="0" fontId="45" fillId="15" borderId="1" xfId="0" applyFont="1" applyFill="1" applyBorder="1" applyAlignment="1">
      <alignment horizontal="left"/>
    </xf>
    <xf numFmtId="0" fontId="39" fillId="0" borderId="1" xfId="0" applyFont="1" applyBorder="1" applyAlignment="1">
      <alignment wrapText="1"/>
    </xf>
    <xf numFmtId="0" fontId="39" fillId="0" borderId="1" xfId="0" applyFont="1" applyFill="1" applyBorder="1" applyAlignment="1">
      <alignment horizontal="left" wrapText="1"/>
    </xf>
    <xf numFmtId="0" fontId="39" fillId="0" borderId="1" xfId="0" applyFont="1" applyBorder="1" applyAlignment="1"/>
    <xf numFmtId="0" fontId="28" fillId="0" borderId="1" xfId="0" applyFont="1" applyBorder="1" applyAlignment="1"/>
    <xf numFmtId="10" fontId="38" fillId="0" borderId="1" xfId="0" applyNumberFormat="1" applyFont="1" applyBorder="1" applyAlignment="1">
      <alignment horizontal="left"/>
    </xf>
    <xf numFmtId="0" fontId="38" fillId="14" borderId="1" xfId="0" applyFont="1" applyFill="1" applyBorder="1" applyAlignment="1">
      <alignment horizontal="left"/>
    </xf>
    <xf numFmtId="0" fontId="46" fillId="0" borderId="1" xfId="0" applyFont="1" applyBorder="1" applyAlignment="1"/>
    <xf numFmtId="0" fontId="47" fillId="0" borderId="1" xfId="0" applyFont="1" applyBorder="1" applyAlignment="1">
      <alignment horizontal="left"/>
    </xf>
    <xf numFmtId="0" fontId="47" fillId="0" borderId="1" xfId="0" applyFont="1" applyFill="1" applyBorder="1" applyAlignment="1">
      <alignment horizontal="left"/>
    </xf>
    <xf numFmtId="0" fontId="39" fillId="0" borderId="1" xfId="0" applyFont="1" applyBorder="1" applyAlignment="1">
      <alignment horizontal="left"/>
    </xf>
    <xf numFmtId="0" fontId="48" fillId="0" borderId="1" xfId="0" applyFont="1" applyBorder="1" applyAlignment="1">
      <alignment horizontal="left" wrapText="1"/>
    </xf>
    <xf numFmtId="0" fontId="40" fillId="15" borderId="1" xfId="3" applyFont="1" applyFill="1" applyBorder="1" applyAlignment="1">
      <alignment horizontal="left"/>
    </xf>
    <xf numFmtId="0" fontId="37" fillId="0" borderId="1" xfId="0" applyFont="1" applyBorder="1" applyAlignment="1">
      <alignment horizontal="left" wrapText="1"/>
    </xf>
    <xf numFmtId="0" fontId="37" fillId="0" borderId="1" xfId="0" applyFont="1" applyFill="1" applyBorder="1" applyAlignment="1">
      <alignment horizontal="left" wrapText="1"/>
    </xf>
    <xf numFmtId="0" fontId="36" fillId="15" borderId="1" xfId="0" applyFont="1" applyFill="1" applyBorder="1" applyAlignment="1">
      <alignment horizontal="left"/>
    </xf>
    <xf numFmtId="0" fontId="37" fillId="0" borderId="0" xfId="0" applyFont="1" applyBorder="1" applyAlignment="1">
      <alignment horizontal="center" wrapText="1"/>
    </xf>
    <xf numFmtId="2" fontId="38" fillId="0" borderId="1" xfId="0" applyNumberFormat="1" applyFont="1" applyBorder="1" applyAlignment="1">
      <alignment horizontal="left"/>
    </xf>
    <xf numFmtId="0" fontId="38" fillId="16" borderId="1" xfId="0" applyFont="1" applyFill="1" applyBorder="1" applyAlignment="1">
      <alignment horizontal="left"/>
    </xf>
    <xf numFmtId="0" fontId="38" fillId="0" borderId="0" xfId="0" applyFont="1" applyBorder="1" applyAlignment="1">
      <alignment horizontal="left"/>
    </xf>
    <xf numFmtId="0" fontId="16" fillId="0" borderId="0" xfId="0" applyFont="1" applyFill="1" applyAlignment="1"/>
    <xf numFmtId="0" fontId="0" fillId="0" borderId="0" xfId="0" applyFont="1" applyAlignment="1"/>
    <xf numFmtId="0" fontId="0" fillId="0" borderId="0" xfId="0" applyFont="1" applyAlignment="1"/>
    <xf numFmtId="2" fontId="29" fillId="0" borderId="0" xfId="2" applyNumberFormat="1" applyFont="1" applyFill="1" applyAlignment="1"/>
    <xf numFmtId="169" fontId="29" fillId="0" borderId="0" xfId="4" applyNumberFormat="1" applyFont="1" applyFill="1" applyAlignment="1"/>
    <xf numFmtId="1" fontId="0" fillId="0" borderId="0" xfId="0" applyNumberFormat="1" applyFont="1" applyFill="1" applyAlignment="1"/>
    <xf numFmtId="1" fontId="0" fillId="0" borderId="0" xfId="0" applyNumberFormat="1" applyFont="1" applyAlignment="1"/>
    <xf numFmtId="1" fontId="0" fillId="0" borderId="0" xfId="2" applyNumberFormat="1" applyFont="1" applyFill="1" applyAlignment="1"/>
    <xf numFmtId="0" fontId="0" fillId="0" borderId="0" xfId="0" applyFont="1" applyAlignment="1"/>
    <xf numFmtId="43" fontId="0" fillId="0" borderId="0" xfId="0" applyNumberFormat="1" applyFont="1" applyAlignment="1"/>
    <xf numFmtId="6" fontId="0" fillId="0" borderId="0" xfId="0" applyNumberFormat="1" applyFont="1" applyAlignment="1"/>
    <xf numFmtId="0" fontId="8" fillId="0" borderId="0" xfId="5" applyFont="1" applyAlignment="1"/>
    <xf numFmtId="0" fontId="49" fillId="0" borderId="0" xfId="14" applyFont="1" applyAlignment="1"/>
    <xf numFmtId="0" fontId="26" fillId="0" borderId="0" xfId="14" applyFont="1" applyAlignment="1">
      <alignment vertical="center" wrapText="1"/>
    </xf>
    <xf numFmtId="0" fontId="49" fillId="0" borderId="0" xfId="14" applyFont="1" applyAlignment="1">
      <alignment vertical="center" wrapText="1"/>
    </xf>
    <xf numFmtId="0" fontId="21" fillId="0" borderId="0" xfId="14" applyFont="1" applyAlignment="1"/>
    <xf numFmtId="0" fontId="6" fillId="0" borderId="0" xfId="14" applyFont="1" applyFill="1" applyBorder="1" applyAlignment="1">
      <alignment wrapText="1"/>
    </xf>
    <xf numFmtId="0" fontId="6" fillId="0" borderId="0" xfId="14" applyFont="1" applyAlignment="1"/>
    <xf numFmtId="0" fontId="6" fillId="0" borderId="1" xfId="14" applyFont="1" applyBorder="1" applyAlignment="1">
      <alignment wrapText="1"/>
    </xf>
    <xf numFmtId="0" fontId="6" fillId="0" borderId="0" xfId="14" applyFont="1" applyFill="1" applyBorder="1" applyAlignment="1"/>
    <xf numFmtId="0" fontId="26" fillId="0" borderId="0" xfId="14" applyFont="1" applyAlignment="1"/>
    <xf numFmtId="0" fontId="4" fillId="0" borderId="0" xfId="14" applyFont="1" applyAlignment="1"/>
    <xf numFmtId="0" fontId="8" fillId="0" borderId="0" xfId="14" applyFont="1" applyAlignment="1"/>
    <xf numFmtId="0" fontId="13" fillId="2" borderId="0" xfId="14" applyFont="1" applyFill="1" applyAlignment="1">
      <alignment horizontal="left"/>
    </xf>
    <xf numFmtId="0" fontId="19" fillId="0" borderId="0" xfId="14" applyFont="1" applyAlignment="1">
      <alignment horizontal="left"/>
    </xf>
    <xf numFmtId="0" fontId="18" fillId="0" borderId="0" xfId="14" applyFont="1" applyAlignment="1">
      <alignment horizontal="left"/>
    </xf>
    <xf numFmtId="164" fontId="18" fillId="0" borderId="0" xfId="14" applyNumberFormat="1" applyFont="1" applyAlignment="1">
      <alignment horizontal="left"/>
    </xf>
    <xf numFmtId="0" fontId="12" fillId="2" borderId="0" xfId="14" applyFont="1" applyFill="1" applyAlignment="1"/>
    <xf numFmtId="0" fontId="11" fillId="0" borderId="0" xfId="14" applyFont="1" applyAlignment="1">
      <alignment horizontal="left"/>
    </xf>
    <xf numFmtId="0" fontId="10" fillId="0" borderId="0" xfId="14" applyFont="1" applyAlignment="1">
      <alignment horizontal="left"/>
    </xf>
    <xf numFmtId="0" fontId="5" fillId="0" borderId="0" xfId="14" applyFont="1" applyAlignment="1"/>
    <xf numFmtId="0" fontId="9" fillId="0" borderId="0" xfId="14" applyFont="1" applyAlignment="1">
      <alignment horizontal="left" wrapText="1"/>
    </xf>
    <xf numFmtId="0" fontId="7" fillId="0" borderId="0" xfId="14" applyFont="1" applyAlignment="1"/>
    <xf numFmtId="0" fontId="20" fillId="5" borderId="0" xfId="0" applyFont="1" applyFill="1" applyAlignment="1">
      <alignment horizontal="center"/>
    </xf>
    <xf numFmtId="0" fontId="17" fillId="6" borderId="0" xfId="0" applyFont="1" applyFill="1" applyAlignment="1">
      <alignment horizontal="center"/>
    </xf>
    <xf numFmtId="0" fontId="20" fillId="8" borderId="0" xfId="0" applyFont="1" applyFill="1" applyAlignment="1">
      <alignment horizontal="center" vertical="center" wrapText="1"/>
    </xf>
    <xf numFmtId="0" fontId="20" fillId="10" borderId="0" xfId="0" applyFont="1" applyFill="1" applyAlignment="1">
      <alignment horizontal="center" vertical="center" wrapText="1"/>
    </xf>
    <xf numFmtId="0" fontId="18" fillId="6" borderId="0" xfId="0" applyFont="1" applyFill="1" applyAlignment="1">
      <alignment horizontal="center"/>
    </xf>
    <xf numFmtId="0" fontId="20" fillId="9" borderId="0" xfId="0" applyFont="1" applyFill="1" applyAlignment="1">
      <alignment horizontal="center"/>
    </xf>
    <xf numFmtId="0" fontId="18" fillId="11" borderId="0" xfId="0" applyFont="1" applyFill="1" applyAlignment="1">
      <alignment horizontal="center" wrapText="1"/>
    </xf>
    <xf numFmtId="0" fontId="20" fillId="5" borderId="0" xfId="0" applyFont="1" applyFill="1" applyAlignment="1">
      <alignment horizontal="center" vertical="center"/>
    </xf>
    <xf numFmtId="0" fontId="9" fillId="0" borderId="0" xfId="14" applyFont="1" applyAlignment="1">
      <alignment vertical="center" wrapText="1"/>
    </xf>
    <xf numFmtId="0" fontId="49" fillId="0" borderId="0" xfId="14" applyFont="1" applyAlignment="1"/>
  </cellXfs>
  <cellStyles count="15">
    <cellStyle name="Comma" xfId="4" builtinId="3"/>
    <cellStyle name="Comma 2" xfId="11"/>
    <cellStyle name="Currency" xfId="1" builtinId="4"/>
    <cellStyle name="Currency 2" xfId="9"/>
    <cellStyle name="Hyperlink" xfId="3" builtinId="8"/>
    <cellStyle name="Hyperlink 2" xfId="7"/>
    <cellStyle name="Normal" xfId="0" builtinId="0"/>
    <cellStyle name="Normal 2" xfId="5"/>
    <cellStyle name="Normal 2 2" xfId="8"/>
    <cellStyle name="Normal 2 2 2" xfId="13"/>
    <cellStyle name="Normal 2 3" xfId="12"/>
    <cellStyle name="Normal 2 4" xfId="14"/>
    <cellStyle name="Normal 3" xfId="6"/>
    <cellStyle name="Percent" xfId="2" builtinId="5"/>
    <cellStyle name="Percent 2" xfId="1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93</xdr:col>
      <xdr:colOff>600075</xdr:colOff>
      <xdr:row>144</xdr:row>
      <xdr:rowOff>114300</xdr:rowOff>
    </xdr:to>
    <xdr:sp macro="" textlink="">
      <xdr:nvSpPr>
        <xdr:cNvPr id="1034" name="Rectangle 1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1</xdr:col>
      <xdr:colOff>0</xdr:colOff>
      <xdr:row>2</xdr:row>
      <xdr:rowOff>0</xdr:rowOff>
    </xdr:from>
    <xdr:to>
      <xdr:col>93</xdr:col>
      <xdr:colOff>600075</xdr:colOff>
      <xdr:row>144</xdr:row>
      <xdr:rowOff>114300</xdr:rowOff>
    </xdr:to>
    <xdr:sp macro="" textlink="">
      <xdr:nvSpPr>
        <xdr:cNvPr id="2"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2</xdr:row>
      <xdr:rowOff>0</xdr:rowOff>
    </xdr:from>
    <xdr:to>
      <xdr:col>93</xdr:col>
      <xdr:colOff>600075</xdr:colOff>
      <xdr:row>144</xdr:row>
      <xdr:rowOff>114300</xdr:rowOff>
    </xdr:to>
    <xdr:sp macro="" textlink="">
      <xdr:nvSpPr>
        <xdr:cNvPr id="3" name="AutoShape 10"/>
        <xdr:cNvSpPr>
          <a:spLocks noChangeArrowheads="1"/>
        </xdr:cNvSpPr>
      </xdr:nvSpPr>
      <xdr:spPr bwMode="auto">
        <a:xfrm>
          <a:off x="0" y="0"/>
          <a:ext cx="9525000" cy="28336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9</xdr:col>
      <xdr:colOff>600075</xdr:colOff>
      <xdr:row>139</xdr:row>
      <xdr:rowOff>114300</xdr:rowOff>
    </xdr:to>
    <xdr:sp macro="" textlink="">
      <xdr:nvSpPr>
        <xdr:cNvPr id="4" name="AutoShape 10"/>
        <xdr:cNvSpPr>
          <a:spLocks noChangeArrowheads="1"/>
        </xdr:cNvSpPr>
      </xdr:nvSpPr>
      <xdr:spPr bwMode="auto">
        <a:xfrm>
          <a:off x="0" y="0"/>
          <a:ext cx="7277100" cy="27365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9</xdr:col>
      <xdr:colOff>600075</xdr:colOff>
      <xdr:row>139</xdr:row>
      <xdr:rowOff>114300</xdr:rowOff>
    </xdr:to>
    <xdr:sp macro="" textlink="">
      <xdr:nvSpPr>
        <xdr:cNvPr id="5" name="AutoShape 10"/>
        <xdr:cNvSpPr>
          <a:spLocks noChangeArrowheads="1"/>
        </xdr:cNvSpPr>
      </xdr:nvSpPr>
      <xdr:spPr bwMode="auto">
        <a:xfrm>
          <a:off x="0" y="0"/>
          <a:ext cx="7277100" cy="27374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9</xdr:col>
      <xdr:colOff>600075</xdr:colOff>
      <xdr:row>139</xdr:row>
      <xdr:rowOff>114300</xdr:rowOff>
    </xdr:to>
    <xdr:sp macro="" textlink="">
      <xdr:nvSpPr>
        <xdr:cNvPr id="6" name="AutoShape 10"/>
        <xdr:cNvSpPr>
          <a:spLocks noChangeArrowheads="1"/>
        </xdr:cNvSpPr>
      </xdr:nvSpPr>
      <xdr:spPr bwMode="auto">
        <a:xfrm>
          <a:off x="0" y="0"/>
          <a:ext cx="7277100" cy="273748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FairVote">
      <a:dk1>
        <a:srgbClr val="553285"/>
      </a:dk1>
      <a:lt1>
        <a:srgbClr val="A173D8"/>
      </a:lt1>
      <a:dk2>
        <a:srgbClr val="3BB3CB"/>
      </a:dk2>
      <a:lt2>
        <a:srgbClr val="7B7B7B"/>
      </a:lt2>
      <a:accent1>
        <a:srgbClr val="553285"/>
      </a:accent1>
      <a:accent2>
        <a:srgbClr val="A173D8"/>
      </a:accent2>
      <a:accent3>
        <a:srgbClr val="3BB3CB"/>
      </a:accent3>
      <a:accent4>
        <a:srgbClr val="7B7B7B"/>
      </a:accent4>
      <a:accent5>
        <a:srgbClr val="A5A5A5"/>
      </a:accent5>
      <a:accent6>
        <a:srgbClr val="C9C9C9"/>
      </a:accent6>
      <a:hlink>
        <a:srgbClr val="3BB3CB"/>
      </a:hlink>
      <a:folHlink>
        <a:srgbClr val="A173D8"/>
      </a:folHlink>
    </a:clrScheme>
    <a:fontScheme name="FairVote theme">
      <a:majorFont>
        <a:latin typeface="Montserrat"/>
        <a:ea typeface=""/>
        <a:cs typeface=""/>
      </a:majorFont>
      <a:minorFont>
        <a:latin typeface="Georgi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drawing" Target="../drawings/drawing1.xml"/><Relationship Id="rId5" Type="http://schemas.openxmlformats.org/officeDocument/2006/relationships/printerSettings" Target="../printerSettings/printerSettings9.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17" Type="http://schemas.openxmlformats.org/officeDocument/2006/relationships/hyperlink" Target="http://www.sfgate.com/news/article/SF-Sheriff-Michael-Hennessey-looks-back-on-career-2411494.php" TargetMode="External"/><Relationship Id="rId21" Type="http://schemas.openxmlformats.org/officeDocument/2006/relationships/hyperlink" Target="http://www.sfgate.com/bayarea/article/Oakland-council-De-La-Fuente-concedes-4031177.php" TargetMode="External"/><Relationship Id="rId42" Type="http://schemas.openxmlformats.org/officeDocument/2006/relationships/hyperlink" Target="https://localwiki.org/oakland/Patrick_McCullough" TargetMode="External"/><Relationship Id="rId63" Type="http://schemas.openxmlformats.org/officeDocument/2006/relationships/hyperlink" Target="http://votersedge.org/california/2014/november/san-leandro/candidates/council-member-council-district-1/9848-david-l-anderson-sr" TargetMode="External"/><Relationship Id="rId84" Type="http://schemas.openxmlformats.org/officeDocument/2006/relationships/hyperlink" Target="https://www.ccsf.edu/en/about-city-college/board-of-trustees/theaselby.html" TargetMode="External"/><Relationship Id="rId138" Type="http://schemas.openxmlformats.org/officeDocument/2006/relationships/hyperlink" Target="http://www.smartvoter.org/2002/03/05/ca/state/vote/denny_m/bio.html" TargetMode="External"/><Relationship Id="rId159" Type="http://schemas.openxmlformats.org/officeDocument/2006/relationships/hyperlink" Target="http://www.smartvoter.org/2012/11/06/ca/sf/race/5107/" TargetMode="External"/><Relationship Id="rId170" Type="http://schemas.openxmlformats.org/officeDocument/2006/relationships/hyperlink" Target="http://www.lucillekring.com/" TargetMode="External"/><Relationship Id="rId191" Type="http://schemas.openxmlformats.org/officeDocument/2006/relationships/hyperlink" Target="http://www.smartvoter.org/2012/06/05/ca/scl/vote/martinez-roach_p/bio.html" TargetMode="External"/><Relationship Id="rId205" Type="http://schemas.openxmlformats.org/officeDocument/2006/relationships/hyperlink" Target="http://www.mercurynews.com/ci_19009552" TargetMode="External"/><Relationship Id="rId107" Type="http://schemas.openxmlformats.org/officeDocument/2006/relationships/hyperlink" Target="https://www.youtube.com/watch?v=61S8L90M2w4" TargetMode="External"/><Relationship Id="rId11" Type="http://schemas.openxmlformats.org/officeDocument/2006/relationships/hyperlink" Target="https://ballotpedia.org/James_Moore_(California)" TargetMode="External"/><Relationship Id="rId32" Type="http://schemas.openxmlformats.org/officeDocument/2006/relationships/hyperlink" Target="http://www.ousd.org/Page/9838" TargetMode="External"/><Relationship Id="rId53" Type="http://schemas.openxmlformats.org/officeDocument/2006/relationships/hyperlink" Target="http://www.sanleandro.org/depts/council/dist3.asp" TargetMode="External"/><Relationship Id="rId74" Type="http://schemas.openxmlformats.org/officeDocument/2006/relationships/hyperlink" Target="http://www.sfbos.org/index.aspx?page=11323" TargetMode="External"/><Relationship Id="rId128" Type="http://schemas.openxmlformats.org/officeDocument/2006/relationships/hyperlink" Target="http://www.sfbos.org/index.aspx?page=3040" TargetMode="External"/><Relationship Id="rId149" Type="http://schemas.openxmlformats.org/officeDocument/2006/relationships/hyperlink" Target="http://www.ourcampaigns.com/RaceDetail.html?RaceID=548138" TargetMode="External"/><Relationship Id="rId5" Type="http://schemas.openxmlformats.org/officeDocument/2006/relationships/hyperlink" Target="http://www.berkeleydailyplanet.com/issue/2000-10-16/article/1676?headline=Diverse-ideas-for-District-2--Stories-by-Josh-Parr-Daily-Planet-staff-Judith-Sc" TargetMode="External"/><Relationship Id="rId95" Type="http://schemas.openxmlformats.org/officeDocument/2006/relationships/hyperlink" Target="https://en.wikipedia.org/wiki/Ross_Mirkarimi" TargetMode="External"/><Relationship Id="rId160" Type="http://schemas.openxmlformats.org/officeDocument/2006/relationships/hyperlink" Target="http://www.sfgate.com/bayarea/article/Arthur-M-Jackson-businessman-civic-leader-2499641.php" TargetMode="External"/><Relationship Id="rId181" Type="http://schemas.openxmlformats.org/officeDocument/2006/relationships/hyperlink" Target="http://www.contracostatimes.com/ci_23628422/school-board-leader-charles-ramsey-has-sights-set" TargetMode="External"/><Relationship Id="rId216" Type="http://schemas.openxmlformats.org/officeDocument/2006/relationships/printerSettings" Target="../printerSettings/printerSettings10.bin"/><Relationship Id="rId22" Type="http://schemas.openxmlformats.org/officeDocument/2006/relationships/hyperlink" Target="https://oaklandnorth.net/2012/11/05/meet-oakland-city-council-candidates-an-interactive-map/" TargetMode="External"/><Relationship Id="rId43" Type="http://schemas.openxmlformats.org/officeDocument/2006/relationships/hyperlink" Target="https://localwiki.org/oakland/Nancy_Nadel" TargetMode="External"/><Relationship Id="rId64" Type="http://schemas.openxmlformats.org/officeDocument/2006/relationships/hyperlink" Target="http://www.smartvoter.org/2010/11/02/ca/alm/vote/santos_a/" TargetMode="External"/><Relationship Id="rId118" Type="http://schemas.openxmlformats.org/officeDocument/2006/relationships/hyperlink" Target="http://www.sfbos.org/index.aspx?page=1617" TargetMode="External"/><Relationship Id="rId139" Type="http://schemas.openxmlformats.org/officeDocument/2006/relationships/hyperlink" Target="http://www.studycenter.org/test/cce/issues/29/CCX-29-6-7.pdf" TargetMode="External"/><Relationship Id="rId85" Type="http://schemas.openxmlformats.org/officeDocument/2006/relationships/hyperlink" Target="http://www.sfgate.com/politics/article/Board-of-Supervisors-Candidate-Questionnaire-3957301.php" TargetMode="External"/><Relationship Id="rId150" Type="http://schemas.openxmlformats.org/officeDocument/2006/relationships/hyperlink" Target="https://www.youtube.com/watch?v=1Y0ks13kCCo" TargetMode="External"/><Relationship Id="rId171" Type="http://schemas.openxmlformats.org/officeDocument/2006/relationships/hyperlink" Target="https://ballotpedia.org/Gail_E._Eastman" TargetMode="External"/><Relationship Id="rId192" Type="http://schemas.openxmlformats.org/officeDocument/2006/relationships/hyperlink" Target="http://my.lulac.org/group/159" TargetMode="External"/><Relationship Id="rId206" Type="http://schemas.openxmlformats.org/officeDocument/2006/relationships/hyperlink" Target="http://www.smartvoter.org/2004/11/02/ca/scl/vote/blair_c/" TargetMode="External"/><Relationship Id="rId12" Type="http://schemas.openxmlformats.org/officeDocument/2006/relationships/hyperlink" Target="http://cruzthinks.blogspot.com/" TargetMode="External"/><Relationship Id="rId33" Type="http://schemas.openxmlformats.org/officeDocument/2006/relationships/hyperlink" Target="http://www.smartvoter.org/2012/11/06/ca/alm/vote/spearman_a/bio.html" TargetMode="External"/><Relationship Id="rId108" Type="http://schemas.openxmlformats.org/officeDocument/2006/relationships/hyperlink" Target="https://www.youtube.com/watch?v=uhYL42FDtb8" TargetMode="External"/><Relationship Id="rId129" Type="http://schemas.openxmlformats.org/officeDocument/2006/relationships/hyperlink" Target="http://www.sfbos.org/index.aspx?page=18587" TargetMode="External"/><Relationship Id="rId54" Type="http://schemas.openxmlformats.org/officeDocument/2006/relationships/hyperlink" Target="http://www.corinalopez.com/" TargetMode="External"/><Relationship Id="rId75" Type="http://schemas.openxmlformats.org/officeDocument/2006/relationships/hyperlink" Target="http://www.sfbos.org/index.aspx?page=13999" TargetMode="External"/><Relationship Id="rId96" Type="http://schemas.openxmlformats.org/officeDocument/2006/relationships/hyperlink" Target="https://www.facebook.com/Ed-Donaldson-for-District-10-Supervisor-320895614729402/" TargetMode="External"/><Relationship Id="rId140" Type="http://schemas.openxmlformats.org/officeDocument/2006/relationships/hyperlink" Target="http://www.boe.ca.gov/ma/" TargetMode="External"/><Relationship Id="rId161" Type="http://schemas.openxmlformats.org/officeDocument/2006/relationships/hyperlink" Target="http://www.sfgate.com/news/article/Louise-Renne-keeping-busy-with-work-good-works-2370821.php" TargetMode="External"/><Relationship Id="rId182" Type="http://schemas.openxmlformats.org/officeDocument/2006/relationships/hyperlink" Target="http://www.radiofreerichmond.com/pastor_washington_richmond_has_fallen_asleep" TargetMode="External"/><Relationship Id="rId6" Type="http://schemas.openxmlformats.org/officeDocument/2006/relationships/hyperlink" Target="http://www.oaklandauditor.com/" TargetMode="External"/><Relationship Id="rId23" Type="http://schemas.openxmlformats.org/officeDocument/2006/relationships/hyperlink" Target="https://oaklandnorth.net/2012/11/05/meet-oakland-city-council-candidates-an-interactive-map/" TargetMode="External"/><Relationship Id="rId119" Type="http://schemas.openxmlformats.org/officeDocument/2006/relationships/hyperlink" Target="http://www.beyondchron.org/the-strange-career-of-michela-alioto-pier/" TargetMode="External"/><Relationship Id="rId44" Type="http://schemas.openxmlformats.org/officeDocument/2006/relationships/hyperlink" Target="http://www.sfgate.com/education/article/PROFILE-Greg-Hodge-Test-of-a-lifetime-2663550.php" TargetMode="External"/><Relationship Id="rId65" Type="http://schemas.openxmlformats.org/officeDocument/2006/relationships/hyperlink" Target="http://www.smartvoter.org/2008/06/03/ca/alm/vote/starosciak_j/bio.html" TargetMode="External"/><Relationship Id="rId86" Type="http://schemas.openxmlformats.org/officeDocument/2006/relationships/hyperlink" Target="http://www.smartvoter.org/2012/11/06/ca/sf/vote/johnson_h/bio.html" TargetMode="External"/><Relationship Id="rId130" Type="http://schemas.openxmlformats.org/officeDocument/2006/relationships/hyperlink" Target="http://www.ourcampaigns.com/CandidateDetail.html?CandidateID=66740" TargetMode="External"/><Relationship Id="rId151" Type="http://schemas.openxmlformats.org/officeDocument/2006/relationships/hyperlink" Target="http://www.smartvoter.org/2000/11/07/ca/sf/ballot.html" TargetMode="External"/><Relationship Id="rId172" Type="http://schemas.openxmlformats.org/officeDocument/2006/relationships/hyperlink" Target="http://www.electkrismurray.com/" TargetMode="External"/><Relationship Id="rId193" Type="http://schemas.openxmlformats.org/officeDocument/2006/relationships/hyperlink" Target="http://www.smartvoter.org/2007/03/06/ca/scl/race/5207/" TargetMode="External"/><Relationship Id="rId207" Type="http://schemas.openxmlformats.org/officeDocument/2006/relationships/hyperlink" Target="http://www.smartvoter.org/2002/11/05/ca/scl/vote/mclemore_j/" TargetMode="External"/><Relationship Id="rId13" Type="http://schemas.openxmlformats.org/officeDocument/2006/relationships/hyperlink" Target="http://www2.oaklandnet.com/Government/o/Mayor/" TargetMode="External"/><Relationship Id="rId109" Type="http://schemas.openxmlformats.org/officeDocument/2006/relationships/hyperlink" Target="http://www.fogcityjournal.com/wordpress/582/san-francisco-d3-candidates-jockey-for-position/" TargetMode="External"/><Relationship Id="rId34" Type="http://schemas.openxmlformats.org/officeDocument/2006/relationships/hyperlink" Target="https://vimeo.com/15900885" TargetMode="External"/><Relationship Id="rId55" Type="http://schemas.openxmlformats.org/officeDocument/2006/relationships/hyperlink" Target="http://www.sanleandro.org/depts/council/mayor.asp" TargetMode="External"/><Relationship Id="rId76" Type="http://schemas.openxmlformats.org/officeDocument/2006/relationships/hyperlink" Target="http://www.sfbos.org/index.aspx?page=11324" TargetMode="External"/><Relationship Id="rId97" Type="http://schemas.openxmlformats.org/officeDocument/2006/relationships/hyperlink" Target="http://sfcitizen.com/blog/tag/kat-anderson/" TargetMode="External"/><Relationship Id="rId120" Type="http://schemas.openxmlformats.org/officeDocument/2006/relationships/hyperlink" Target="http://www.sfgate.com/crime/article/Former-S-F-Supervisor-Ed-Jew-loses-bid-to-stay-5338785.php" TargetMode="External"/><Relationship Id="rId141" Type="http://schemas.openxmlformats.org/officeDocument/2006/relationships/hyperlink" Target="http://www.smartvoter.org/2002/11/05/ca/sf/vote/loretto_k/" TargetMode="External"/><Relationship Id="rId7" Type="http://schemas.openxmlformats.org/officeDocument/2006/relationships/hyperlink" Target="http://votersedge.org/california/2014/november/oakland/candidates/council-member-council-district-2/9818-ken-maxey" TargetMode="External"/><Relationship Id="rId162" Type="http://schemas.openxmlformats.org/officeDocument/2006/relationships/hyperlink" Target="https://en.wikipedia.org/wiki/Richard_Hongisto" TargetMode="External"/><Relationship Id="rId183" Type="http://schemas.openxmlformats.org/officeDocument/2006/relationships/hyperlink" Target="http://blog.sfgate.com/incontracosta/2013/01/09/richmond-city-council-welcomes-back-nat-bates-tom-butt-with-swearing-in-ceremony/" TargetMode="External"/><Relationship Id="rId24" Type="http://schemas.openxmlformats.org/officeDocument/2006/relationships/hyperlink" Target="https://oaklandnorth.net/2012/11/05/meet-oakland-city-council-candidates-an-interactive-map/" TargetMode="External"/><Relationship Id="rId45" Type="http://schemas.openxmlformats.org/officeDocument/2006/relationships/hyperlink" Target="http://sanfrancisco.cbslocal.com/2012/09/26/oakland-city-council-candidate-scrutinized-over-real-estate-deals/" TargetMode="External"/><Relationship Id="rId66" Type="http://schemas.openxmlformats.org/officeDocument/2006/relationships/hyperlink" Target="http://patch.com/california/sanleandro/irrepressible-candidate-lou-filipovich-dies-at-90" TargetMode="External"/><Relationship Id="rId87" Type="http://schemas.openxmlformats.org/officeDocument/2006/relationships/hyperlink" Target="http://www.sfbos.org/index.aspx?page=13827" TargetMode="External"/><Relationship Id="rId110" Type="http://schemas.openxmlformats.org/officeDocument/2006/relationships/hyperlink" Target="http://sfcitizen.com/blog/tag/owen-odonnell/" TargetMode="External"/><Relationship Id="rId131" Type="http://schemas.openxmlformats.org/officeDocument/2006/relationships/hyperlink" Target="http://www.fogcityjournal.com/profiles/profile_francis_somsel.shtml" TargetMode="External"/><Relationship Id="rId152" Type="http://schemas.openxmlformats.org/officeDocument/2006/relationships/hyperlink" Target="http://www.smartvoter.org/1999nov/ca/sf/vote/reid_j/bio.html" TargetMode="External"/><Relationship Id="rId173" Type="http://schemas.openxmlformats.org/officeDocument/2006/relationships/hyperlink" Target="https://vote4hoagy.wordpress.com/about/" TargetMode="External"/><Relationship Id="rId194" Type="http://schemas.openxmlformats.org/officeDocument/2006/relationships/hyperlink" Target="http://www.smartvoter.org/2002/03/05/ca/scl/vote/posadas_j/bio.html" TargetMode="External"/><Relationship Id="rId208" Type="http://schemas.openxmlformats.org/officeDocument/2006/relationships/hyperlink" Target="http://latinotimes.org/2014/06/10/meet-stockton-city-council-candidate-rick-grewal/" TargetMode="External"/><Relationship Id="rId19" Type="http://schemas.openxmlformats.org/officeDocument/2006/relationships/hyperlink" Target="http://www.oaklandcityattorney.org/" TargetMode="External"/><Relationship Id="rId14" Type="http://schemas.openxmlformats.org/officeDocument/2006/relationships/hyperlink" Target="http://www.ebar.com/news/article.php?sec=news&amp;article=2749" TargetMode="External"/><Relationship Id="rId30" Type="http://schemas.openxmlformats.org/officeDocument/2006/relationships/hyperlink" Target="http://www.smartvoter.org/2012/11/06/ca/alm/vote/lang_b/" TargetMode="External"/><Relationship Id="rId35" Type="http://schemas.openxmlformats.org/officeDocument/2006/relationships/hyperlink" Target="http://www.contracostatimes.com/news/ci_24736302/pat-kernighan-wont-seek-re-election-oakland-council" TargetMode="External"/><Relationship Id="rId56" Type="http://schemas.openxmlformats.org/officeDocument/2006/relationships/hyperlink" Target="http://www.ebcitizen.com/2014/05/san-leandro-councilmember-diana-souza.html" TargetMode="External"/><Relationship Id="rId77" Type="http://schemas.openxmlformats.org/officeDocument/2006/relationships/hyperlink" Target="http://www.electmichaelnulty.com/" TargetMode="External"/><Relationship Id="rId100" Type="http://schemas.openxmlformats.org/officeDocument/2006/relationships/hyperlink" Target="http://www.sfbos.org/index.aspx?page=11324" TargetMode="External"/><Relationship Id="rId105" Type="http://schemas.openxmlformats.org/officeDocument/2006/relationships/hyperlink" Target="http://www.livesoma.com/2010/09/29/who-the-hell-is-nate-payne/" TargetMode="External"/><Relationship Id="rId126" Type="http://schemas.openxmlformats.org/officeDocument/2006/relationships/hyperlink" Target="https://www.youtube.com/watch?v=y7UBy9y7kBs" TargetMode="External"/><Relationship Id="rId147" Type="http://schemas.openxmlformats.org/officeDocument/2006/relationships/hyperlink" Target="http://www.sfgate.com/news/article/A-nightmarish-neighbor-noisy-nosy-now-in-jail-2523719.php" TargetMode="External"/><Relationship Id="rId168" Type="http://schemas.openxmlformats.org/officeDocument/2006/relationships/hyperlink" Target="http://www.eastbayexpress.com/oakland/greetings-from-alameda/Content?oid=1082129" TargetMode="External"/><Relationship Id="rId8" Type="http://schemas.openxmlformats.org/officeDocument/2006/relationships/hyperlink" Target="http://www2.oaklandnet.com/Government/o/CityCouncil/o/District4/index.htm" TargetMode="External"/><Relationship Id="rId51" Type="http://schemas.openxmlformats.org/officeDocument/2006/relationships/hyperlink" Target="http://www.sanfranciscosentinel.com/?p=169867" TargetMode="External"/><Relationship Id="rId72" Type="http://schemas.openxmlformats.org/officeDocument/2006/relationships/hyperlink" Target="https://ballotpedia.org/Tony_Kelly" TargetMode="External"/><Relationship Id="rId93" Type="http://schemas.openxmlformats.org/officeDocument/2006/relationships/hyperlink" Target="https://www.facebook.com/tonyhallsf/" TargetMode="External"/><Relationship Id="rId98" Type="http://schemas.openxmlformats.org/officeDocument/2006/relationships/hyperlink" Target="http://www.filipino-adoptees-network.org/?p=664" TargetMode="External"/><Relationship Id="rId121" Type="http://schemas.openxmlformats.org/officeDocument/2006/relationships/hyperlink" Target="http://www.ebar.com/news/article.php?sec=news&amp;article=1167" TargetMode="External"/><Relationship Id="rId142" Type="http://schemas.openxmlformats.org/officeDocument/2006/relationships/hyperlink" Target="http://www.sfgate.com/politics/article/Newsom-hops-into-race-for-S-F-mayor-He-joins-2752205.php" TargetMode="External"/><Relationship Id="rId163" Type="http://schemas.openxmlformats.org/officeDocument/2006/relationships/hyperlink" Target="https://www.leadershipinstitute.org/training/contact.cfm?FacultyID=1074203" TargetMode="External"/><Relationship Id="rId184" Type="http://schemas.openxmlformats.org/officeDocument/2006/relationships/hyperlink" Target="http://www.ci.richmond.ca.us/398/Nathaniel-Bates" TargetMode="External"/><Relationship Id="rId189" Type="http://schemas.openxmlformats.org/officeDocument/2006/relationships/hyperlink" Target="http://www.mercurynews.com/ci_25784089/san-jose-district-7-voters-will-choose-new" TargetMode="External"/><Relationship Id="rId3" Type="http://schemas.openxmlformats.org/officeDocument/2006/relationships/hyperlink" Target="http://www.ci.berkeley.ca.us/council3/" TargetMode="External"/><Relationship Id="rId214" Type="http://schemas.openxmlformats.org/officeDocument/2006/relationships/hyperlink" Target="http://www.stocktonspeaks.org/pdfs/Gloria_Carido_Nomura.pdf" TargetMode="External"/><Relationship Id="rId25" Type="http://schemas.openxmlformats.org/officeDocument/2006/relationships/hyperlink" Target="https://oaklandnorth.net/2012/11/05/meet-oakland-city-council-candidates-an-interactive-map/" TargetMode="External"/><Relationship Id="rId46" Type="http://schemas.openxmlformats.org/officeDocument/2006/relationships/hyperlink" Target="http://www.lwvoakland.org/files/oakland_evg_june_2008_eng.pdf" TargetMode="External"/><Relationship Id="rId67" Type="http://schemas.openxmlformats.org/officeDocument/2006/relationships/hyperlink" Target="http://www.sanleandrobytes.com/archives/007010.html" TargetMode="External"/><Relationship Id="rId116" Type="http://schemas.openxmlformats.org/officeDocument/2006/relationships/hyperlink" Target="http://www.nytimes.com/2007/02/02/us/02newsom.html" TargetMode="External"/><Relationship Id="rId137" Type="http://schemas.openxmlformats.org/officeDocument/2006/relationships/hyperlink" Target="http://www.sfgate.com/entertainment/article/Angela-Alioto-is-a-devout-rebel-and-San-Franciscan-3165874.php" TargetMode="External"/><Relationship Id="rId158" Type="http://schemas.openxmlformats.org/officeDocument/2006/relationships/hyperlink" Target="http://somaleadership.org/2014/10/21/denise-danne-says/" TargetMode="External"/><Relationship Id="rId20" Type="http://schemas.openxmlformats.org/officeDocument/2006/relationships/hyperlink" Target="http://web.archive.org/web/20130923185812/http:/www.janebrunner.com/" TargetMode="External"/><Relationship Id="rId41" Type="http://schemas.openxmlformats.org/officeDocument/2006/relationships/hyperlink" Target="http://www.insidebayarea.com/top-stories/ci_17476911" TargetMode="External"/><Relationship Id="rId62" Type="http://schemas.openxmlformats.org/officeDocument/2006/relationships/hyperlink" Target="http://www.smartvoter.org/2010/11/02/ca/alm/vote/gregory_m/bio.html" TargetMode="External"/><Relationship Id="rId83" Type="http://schemas.openxmlformats.org/officeDocument/2006/relationships/hyperlink" Target="http://www.sfbos.org/index.aspx?page=13826" TargetMode="External"/><Relationship Id="rId88" Type="http://schemas.openxmlformats.org/officeDocument/2006/relationships/hyperlink" Target="https://www.youtube.com/watch?v=favR_BjqU4w" TargetMode="External"/><Relationship Id="rId111" Type="http://schemas.openxmlformats.org/officeDocument/2006/relationships/hyperlink" Target="http://www.sfbos.org/index.aspx?page=1971" TargetMode="External"/><Relationship Id="rId132" Type="http://schemas.openxmlformats.org/officeDocument/2006/relationships/hyperlink" Target="http://www.smartvoter.org/2004/11/02/ca/sf/vote/wang_i/" TargetMode="External"/><Relationship Id="rId153" Type="http://schemas.openxmlformats.org/officeDocument/2006/relationships/hyperlink" Target="http://www.smartvoter.org/2002/11/05/ca/sf/vote/dunn_j/" TargetMode="External"/><Relationship Id="rId174" Type="http://schemas.openxmlformats.org/officeDocument/2006/relationships/hyperlink" Target="http://www.anaheimblog.net/2015/07/21/rudy-gaona-running-for-city-council-again/" TargetMode="External"/><Relationship Id="rId179" Type="http://schemas.openxmlformats.org/officeDocument/2006/relationships/hyperlink" Target="http://www.smartvoter.org/2002/11/05/ca/or/vote/hernandez_b/" TargetMode="External"/><Relationship Id="rId195" Type="http://schemas.openxmlformats.org/officeDocument/2006/relationships/hyperlink" Target="https://ballotpedia.org/Alex_Padilla_(Santa_Ana,_California)" TargetMode="External"/><Relationship Id="rId209" Type="http://schemas.openxmlformats.org/officeDocument/2006/relationships/hyperlink" Target="https://ballotpedia.org/Dyane_Burgos_Medina" TargetMode="External"/><Relationship Id="rId190" Type="http://schemas.openxmlformats.org/officeDocument/2006/relationships/hyperlink" Target="http://www.mercurynews.com/ci_25784089/san-jose-district-7-voters-will-choose-new" TargetMode="External"/><Relationship Id="rId204" Type="http://schemas.openxmlformats.org/officeDocument/2006/relationships/hyperlink" Target="http://www.dominiccaserta.com/" TargetMode="External"/><Relationship Id="rId15" Type="http://schemas.openxmlformats.org/officeDocument/2006/relationships/hyperlink" Target="http://www.oakmayor2014.com/candidates/courtney-ruby/" TargetMode="External"/><Relationship Id="rId36" Type="http://schemas.openxmlformats.org/officeDocument/2006/relationships/hyperlink" Target="https://ballotpedia.org/Don_Perata" TargetMode="External"/><Relationship Id="rId57" Type="http://schemas.openxmlformats.org/officeDocument/2006/relationships/hyperlink" Target="http://www.eastbayexpress.com/LegalizationNation/archives/2013/09/19/retired-cop-endorses-san-leandro-medical-cannabis-dispensaries-blasts-drug-war" TargetMode="External"/><Relationship Id="rId106" Type="http://schemas.openxmlformats.org/officeDocument/2006/relationships/hyperlink" Target="https://www.ccsf.edu/en/about-city-college/board-of-trustees/rafaelmandelman.html" TargetMode="External"/><Relationship Id="rId127" Type="http://schemas.openxmlformats.org/officeDocument/2006/relationships/hyperlink" Target="http://www.demochoice.org/sfballot.php?poll=sfbay.SF04D1" TargetMode="External"/><Relationship Id="rId10" Type="http://schemas.openxmlformats.org/officeDocument/2006/relationships/hyperlink" Target="https://ballotpedia.org/Michael_V._Johnson" TargetMode="External"/><Relationship Id="rId31" Type="http://schemas.openxmlformats.org/officeDocument/2006/relationships/hyperlink" Target="http://www.ousd.org/Page/9837" TargetMode="External"/><Relationship Id="rId52" Type="http://schemas.openxmlformats.org/officeDocument/2006/relationships/hyperlink" Target="http://www.sanleandro.org/depts/council/dist1.asp" TargetMode="External"/><Relationship Id="rId73" Type="http://schemas.openxmlformats.org/officeDocument/2006/relationships/hyperlink" Target="https://ballotpedia.org/Shawn_M._Richard" TargetMode="External"/><Relationship Id="rId78" Type="http://schemas.openxmlformats.org/officeDocument/2006/relationships/hyperlink" Target="http://www.sfbos.org/index.aspx?page=11325" TargetMode="External"/><Relationship Id="rId94" Type="http://schemas.openxmlformats.org/officeDocument/2006/relationships/hyperlink" Target="http://www.sfbos.org/index.aspx?page=1952" TargetMode="External"/><Relationship Id="rId99" Type="http://schemas.openxmlformats.org/officeDocument/2006/relationships/hyperlink" Target="http://www.sfbos.org/index.aspx?page=2067" TargetMode="External"/><Relationship Id="rId101" Type="http://schemas.openxmlformats.org/officeDocument/2006/relationships/hyperlink" Target="https://www.youtube.com/watch?v=sMlWKwFNmaI" TargetMode="External"/><Relationship Id="rId122" Type="http://schemas.openxmlformats.org/officeDocument/2006/relationships/hyperlink" Target="http://www.smartvoter.org/2006/11/07/ca/sf/vote/drake_m/" TargetMode="External"/><Relationship Id="rId143" Type="http://schemas.openxmlformats.org/officeDocument/2006/relationships/hyperlink" Target="http://smartvoter.org/1998nov/ca/sf/vote/petroni_c/bio.html" TargetMode="External"/><Relationship Id="rId148" Type="http://schemas.openxmlformats.org/officeDocument/2006/relationships/hyperlink" Target="http://www.ourcampaigns.com/CandidateDetail.html?CandidateID=216588" TargetMode="External"/><Relationship Id="rId164" Type="http://schemas.openxmlformats.org/officeDocument/2006/relationships/hyperlink" Target="http://www.smartvoter.org/1999nov/ca/sf/vote/norton_a/" TargetMode="External"/><Relationship Id="rId169" Type="http://schemas.openxmlformats.org/officeDocument/2006/relationships/hyperlink" Target="http://www.contracostatimes.com/news/ci_28902994/alameda-former-city-councilwoman-barbara-kerr-dies" TargetMode="External"/><Relationship Id="rId185" Type="http://schemas.openxmlformats.org/officeDocument/2006/relationships/hyperlink" Target="http://sjdistrict1.com/about/" TargetMode="External"/><Relationship Id="rId4" Type="http://schemas.openxmlformats.org/officeDocument/2006/relationships/hyperlink" Target="http://www.ci.berkeley.ca.us/council5/" TargetMode="External"/><Relationship Id="rId9" Type="http://schemas.openxmlformats.org/officeDocument/2006/relationships/hyperlink" Target="http://www.sfchronicle.com/bayarea/johnson/article/Oakland-Councilwoman-Desley-Brooks-is-out-of-6652964.php" TargetMode="External"/><Relationship Id="rId180" Type="http://schemas.openxmlformats.org/officeDocument/2006/relationships/hyperlink" Target="http://www.jovankabeckles.net/meetjb.htm" TargetMode="External"/><Relationship Id="rId210" Type="http://schemas.openxmlformats.org/officeDocument/2006/relationships/hyperlink" Target="https://www.facebook.com/christina.fugazi/" TargetMode="External"/><Relationship Id="rId215" Type="http://schemas.openxmlformats.org/officeDocument/2006/relationships/hyperlink" Target="http://blogs.ocweekly.com/navelgazing/2010/03/duane_roberts_us_sentate_run.php" TargetMode="External"/><Relationship Id="rId26" Type="http://schemas.openxmlformats.org/officeDocument/2006/relationships/hyperlink" Target="https://oaklandnorth.net/2012/11/05/meet-oakland-city-council-candidates-an-interactive-map/" TargetMode="External"/><Relationship Id="rId47" Type="http://schemas.openxmlformats.org/officeDocument/2006/relationships/hyperlink" Target="http://archive.fairvote.org/oaklandirv/webarchive/kernighan.html" TargetMode="External"/><Relationship Id="rId68" Type="http://schemas.openxmlformats.org/officeDocument/2006/relationships/hyperlink" Target="http://www.asianweek.com/2008/11/06/election-results-roundup-2/" TargetMode="External"/><Relationship Id="rId89" Type="http://schemas.openxmlformats.org/officeDocument/2006/relationships/hyperlink" Target="http://www.sfbos.org/index.aspx?page=2117" TargetMode="External"/><Relationship Id="rId112" Type="http://schemas.openxmlformats.org/officeDocument/2006/relationships/hyperlink" Target="https://www.youtube.com/watch?v=favR_BjqU4w" TargetMode="External"/><Relationship Id="rId133" Type="http://schemas.openxmlformats.org/officeDocument/2006/relationships/hyperlink" Target="http://www.asianweek.com/2004/10/29/wang-belenson-symbolize-huge-mayoral-stakes/" TargetMode="External"/><Relationship Id="rId154" Type="http://schemas.openxmlformats.org/officeDocument/2006/relationships/hyperlink" Target="https://www.facebook.com/tonyhallsf/" TargetMode="External"/><Relationship Id="rId175" Type="http://schemas.openxmlformats.org/officeDocument/2006/relationships/hyperlink" Target="http://www.anaheimconventioncenter.com/2102/Mayor-Tom-Tait" TargetMode="External"/><Relationship Id="rId196" Type="http://schemas.openxmlformats.org/officeDocument/2006/relationships/hyperlink" Target="http://voiceofoc.org/2014/09/questions-raised-about-santa-ana-candidates-residency/" TargetMode="External"/><Relationship Id="rId200" Type="http://schemas.openxmlformats.org/officeDocument/2006/relationships/hyperlink" Target="http://www.orangejuiceblog.com/2008/08/interview-with-george-collins-candidate-for-mayor-of-santa-ana/" TargetMode="External"/><Relationship Id="rId16" Type="http://schemas.openxmlformats.org/officeDocument/2006/relationships/hyperlink" Target="http://www.gopublicschools.org/2014/07/district_2_campaign_2014.php" TargetMode="External"/><Relationship Id="rId37" Type="http://schemas.openxmlformats.org/officeDocument/2006/relationships/hyperlink" Target="http://bex.ousd.k12.ca.us/DavidKakishiba.asp" TargetMode="External"/><Relationship Id="rId58" Type="http://schemas.openxmlformats.org/officeDocument/2006/relationships/hyperlink" Target="http://www.sanleandro.org/depts/council/dist2.asp" TargetMode="External"/><Relationship Id="rId79" Type="http://schemas.openxmlformats.org/officeDocument/2006/relationships/hyperlink" Target="http://www.sfgate.com/news/article/Same-sex-marriage-fight-pits-unlikely-advocate-2627899.php" TargetMode="External"/><Relationship Id="rId102" Type="http://schemas.openxmlformats.org/officeDocument/2006/relationships/hyperlink" Target="http://sfbayview.com/2010/10/elect-james-keys-district-6-supervisor-in-san-francisco/" TargetMode="External"/><Relationship Id="rId123" Type="http://schemas.openxmlformats.org/officeDocument/2006/relationships/hyperlink" Target="http://ebar.com/news/article.php?sec=news&amp;article=1103" TargetMode="External"/><Relationship Id="rId144" Type="http://schemas.openxmlformats.org/officeDocument/2006/relationships/hyperlink" Target="http://www.sfgate.com/politics/article/SAN-FRANCISCO-Mayor-Critic-Rose-Tsai-To-Run-for-3000515.php" TargetMode="External"/><Relationship Id="rId90" Type="http://schemas.openxmlformats.org/officeDocument/2006/relationships/hyperlink" Target="http://www.sfdistrictattorney.org/biography" TargetMode="External"/><Relationship Id="rId165" Type="http://schemas.openxmlformats.org/officeDocument/2006/relationships/hyperlink" Target="http://alamedaca.gov/city-council/councilmember-frank-matarrese" TargetMode="External"/><Relationship Id="rId186" Type="http://schemas.openxmlformats.org/officeDocument/2006/relationships/hyperlink" Target="https://ballotpedia.org/Mauricio_Mejia,_Jr." TargetMode="External"/><Relationship Id="rId211" Type="http://schemas.openxmlformats.org/officeDocument/2006/relationships/hyperlink" Target="http://moseszapien.com/news/" TargetMode="External"/><Relationship Id="rId27" Type="http://schemas.openxmlformats.org/officeDocument/2006/relationships/hyperlink" Target="http://www.ousd.org/Page/457" TargetMode="External"/><Relationship Id="rId48" Type="http://schemas.openxmlformats.org/officeDocument/2006/relationships/hyperlink" Target="http://www.sfgate.com/politics/article/Dellums-enters-Oakland-mayor-race-as-favorite-2565771.php" TargetMode="External"/><Relationship Id="rId69" Type="http://schemas.openxmlformats.org/officeDocument/2006/relationships/hyperlink" Target="http://www.insidebayarea.com/search/ci_3895928" TargetMode="External"/><Relationship Id="rId113" Type="http://schemas.openxmlformats.org/officeDocument/2006/relationships/hyperlink" Target="https://www.youtube.com/watch?v=Ar4EuC4zwaU&amp;list=FLKj-fUu2hLuRtNmx0PGdFkw" TargetMode="External"/><Relationship Id="rId134" Type="http://schemas.openxmlformats.org/officeDocument/2006/relationships/hyperlink" Target="http://www.tomammiano.com/about.html" TargetMode="External"/><Relationship Id="rId80" Type="http://schemas.openxmlformats.org/officeDocument/2006/relationships/hyperlink" Target="http://www.sfbos.org/index.aspx?page=2083" TargetMode="External"/><Relationship Id="rId155" Type="http://schemas.openxmlformats.org/officeDocument/2006/relationships/hyperlink" Target="http://www.smartvoter.org/2001/11/06/ca/sf/vote/obrien_r/" TargetMode="External"/><Relationship Id="rId176" Type="http://schemas.openxmlformats.org/officeDocument/2006/relationships/hyperlink" Target="http://www.anaheimblog.net/2015/01/06/hate-speech-city-council-meetings/" TargetMode="External"/><Relationship Id="rId197" Type="http://schemas.openxmlformats.org/officeDocument/2006/relationships/hyperlink" Target="http://www.smartvoter.org/2012/11/06/ca/or/vote/barrows_s/philosophy.html" TargetMode="External"/><Relationship Id="rId201" Type="http://schemas.openxmlformats.org/officeDocument/2006/relationships/hyperlink" Target="http://www.smartvoter.org/2000/11/07/ca/or/vote/morales_m/bio.html" TargetMode="External"/><Relationship Id="rId17" Type="http://schemas.openxmlformats.org/officeDocument/2006/relationships/hyperlink" Target="http://www.ninaforschoolboard.com/about" TargetMode="External"/><Relationship Id="rId38" Type="http://schemas.openxmlformats.org/officeDocument/2006/relationships/hyperlink" Target="http://bex.ousd.k12.ca.us/GaryYee.asp" TargetMode="External"/><Relationship Id="rId59" Type="http://schemas.openxmlformats.org/officeDocument/2006/relationships/hyperlink" Target="http://www.dandillman.com/" TargetMode="External"/><Relationship Id="rId103" Type="http://schemas.openxmlformats.org/officeDocument/2006/relationships/hyperlink" Target="https://www.linkedin.com/in/deanclarksf" TargetMode="External"/><Relationship Id="rId124" Type="http://schemas.openxmlformats.org/officeDocument/2006/relationships/hyperlink" Target="http://www.smartvoter.org/2006/11/07/ca/sf/race/4/" TargetMode="External"/><Relationship Id="rId70" Type="http://schemas.openxmlformats.org/officeDocument/2006/relationships/hyperlink" Target="https://www.youtube.com/watch?v=S5Rp_MD4XnM" TargetMode="External"/><Relationship Id="rId91" Type="http://schemas.openxmlformats.org/officeDocument/2006/relationships/hyperlink" Target="http://www.sfmayor.org/" TargetMode="External"/><Relationship Id="rId145" Type="http://schemas.openxmlformats.org/officeDocument/2006/relationships/hyperlink" Target="https://www.youtube.com/watch?v=athL1rK6oso" TargetMode="External"/><Relationship Id="rId166" Type="http://schemas.openxmlformats.org/officeDocument/2006/relationships/hyperlink" Target="http://alamedaca.gov/city-council/councilmember-tony-daysog" TargetMode="External"/><Relationship Id="rId187" Type="http://schemas.openxmlformats.org/officeDocument/2006/relationships/hyperlink" Target="http://www.mercurynews.com/bay-area-news/ci_28382219/san-jose-councilwoman-magdalena-carrasco-confirms-she-wont" TargetMode="External"/><Relationship Id="rId1" Type="http://schemas.openxmlformats.org/officeDocument/2006/relationships/hyperlink" Target="http://www.ci.berkeley.ca.us/MeetJesse.aspx" TargetMode="External"/><Relationship Id="rId212" Type="http://schemas.openxmlformats.org/officeDocument/2006/relationships/hyperlink" Target="http://www.smartvoter.org/2002/03/05/ca/sj/vote/martin_l/" TargetMode="External"/><Relationship Id="rId28" Type="http://schemas.openxmlformats.org/officeDocument/2006/relationships/hyperlink" Target="http://www.ousd.org/Page/458" TargetMode="External"/><Relationship Id="rId49" Type="http://schemas.openxmlformats.org/officeDocument/2006/relationships/hyperlink" Target="http://www.smartvoter.org/2006/06/06/ca/alm/vote/fields_a/" TargetMode="External"/><Relationship Id="rId114" Type="http://schemas.openxmlformats.org/officeDocument/2006/relationships/hyperlink" Target="https://www.youtube.com/watch?v=HkSR_9jv8T4" TargetMode="External"/><Relationship Id="rId60" Type="http://schemas.openxmlformats.org/officeDocument/2006/relationships/hyperlink" Target="http://www.sanleandro.org/depts/council/dist4.asp" TargetMode="External"/><Relationship Id="rId81" Type="http://schemas.openxmlformats.org/officeDocument/2006/relationships/hyperlink" Target="http://www.sfbos.org/index.aspx?page=2130" TargetMode="External"/><Relationship Id="rId135" Type="http://schemas.openxmlformats.org/officeDocument/2006/relationships/hyperlink" Target="http://www.sfgate.com/bayarea/article/Bill-Fazio-s-wife-dies-in-American-Samoa-3248170.php" TargetMode="External"/><Relationship Id="rId156" Type="http://schemas.openxmlformats.org/officeDocument/2006/relationships/hyperlink" Target="http://www.smartvoter.org/2002/12/10/ca/sf/vote/hansen_e/bio.html" TargetMode="External"/><Relationship Id="rId177" Type="http://schemas.openxmlformats.org/officeDocument/2006/relationships/hyperlink" Target="http://www.harrysidhu.com/about/" TargetMode="External"/><Relationship Id="rId198" Type="http://schemas.openxmlformats.org/officeDocument/2006/relationships/hyperlink" Target="http://www.ci.santa-ana.ca.us/elected_officials/ward4/" TargetMode="External"/><Relationship Id="rId202" Type="http://schemas.openxmlformats.org/officeDocument/2006/relationships/hyperlink" Target="https://www.facebook.com/Deborah-Bress-Santa-Clara-Advocate-334198150077983/" TargetMode="External"/><Relationship Id="rId18" Type="http://schemas.openxmlformats.org/officeDocument/2006/relationships/hyperlink" Target="http://gonzalesforschools.nationbuilder.com/about_shanthi" TargetMode="External"/><Relationship Id="rId39" Type="http://schemas.openxmlformats.org/officeDocument/2006/relationships/hyperlink" Target="https://vimeo.com/15916594" TargetMode="External"/><Relationship Id="rId50" Type="http://schemas.openxmlformats.org/officeDocument/2006/relationships/hyperlink" Target="http://memorymap.oacc.cc/people/elderinterviews/henrychang.html" TargetMode="External"/><Relationship Id="rId104" Type="http://schemas.openxmlformats.org/officeDocument/2006/relationships/hyperlink" Target="http://www.smartvoter.org/2010/11/02/ca/sf/race/03/" TargetMode="External"/><Relationship Id="rId125" Type="http://schemas.openxmlformats.org/officeDocument/2006/relationships/hyperlink" Target="http://www.sfgate.com/bayarea/article/Recall-of-Supervisor-Jake-McGoldrick-fails-2538522.php" TargetMode="External"/><Relationship Id="rId146" Type="http://schemas.openxmlformats.org/officeDocument/2006/relationships/hyperlink" Target="http://www.smartvoter.org/2006/11/07/ca/sf/vote/jusino_d/bio.html" TargetMode="External"/><Relationship Id="rId167" Type="http://schemas.openxmlformats.org/officeDocument/2006/relationships/hyperlink" Target="http://thealamedan.org/news/city-council-candidate-jane-sullwold" TargetMode="External"/><Relationship Id="rId188" Type="http://schemas.openxmlformats.org/officeDocument/2006/relationships/hyperlink" Target="http://www.mercurynews.com/ci_24126159/san-jose-city-councilman-xavier-campos-tainted-by" TargetMode="External"/><Relationship Id="rId71" Type="http://schemas.openxmlformats.org/officeDocument/2006/relationships/hyperlink" Target="http://www.sfbos.org/index.aspx?page=11322" TargetMode="External"/><Relationship Id="rId92" Type="http://schemas.openxmlformats.org/officeDocument/2006/relationships/hyperlink" Target="https://twitter.com/bevandufty" TargetMode="External"/><Relationship Id="rId213" Type="http://schemas.openxmlformats.org/officeDocument/2006/relationships/hyperlink" Target="http://www.recordnet.com/article/20081223/A_NEWS/812230320" TargetMode="External"/><Relationship Id="rId2" Type="http://schemas.openxmlformats.org/officeDocument/2006/relationships/hyperlink" Target="http://www.ci.berkeley.ca.us/council2/" TargetMode="External"/><Relationship Id="rId29" Type="http://schemas.openxmlformats.org/officeDocument/2006/relationships/hyperlink" Target="http://www.smartvoter.org/2012/11/06/ca/alm/vote/fuentes_r/bio.html" TargetMode="External"/><Relationship Id="rId40" Type="http://schemas.openxmlformats.org/officeDocument/2006/relationships/hyperlink" Target="http://www.sfgate.com/bayarea/article/Oakland-school-board-censures-Dobbins-and-urges-2508334.php" TargetMode="External"/><Relationship Id="rId115" Type="http://schemas.openxmlformats.org/officeDocument/2006/relationships/hyperlink" Target="http://thehill.com/blogs/ballot-box/senate-races/260946-eyebrows-rise-in-california-as-kamala-harris-makes-changes-to" TargetMode="External"/><Relationship Id="rId136" Type="http://schemas.openxmlformats.org/officeDocument/2006/relationships/hyperlink" Target="https://themattgonzalezreader.wordpress.com/matt-gonzalez-bio/" TargetMode="External"/><Relationship Id="rId157" Type="http://schemas.openxmlformats.org/officeDocument/2006/relationships/hyperlink" Target="http://www.smartvoter.org/2002/11/05/ca/sf/vote/ohearn_s/" TargetMode="External"/><Relationship Id="rId178" Type="http://schemas.openxmlformats.org/officeDocument/2006/relationships/hyperlink" Target="http://www.smartvoter.org/2004/11/02/ca/or/vote/flores_r/bio.html" TargetMode="External"/><Relationship Id="rId61" Type="http://schemas.openxmlformats.org/officeDocument/2006/relationships/hyperlink" Target="http://www.sanleandro.org/depts/council/dist6.asp" TargetMode="External"/><Relationship Id="rId82" Type="http://schemas.openxmlformats.org/officeDocument/2006/relationships/hyperlink" Target="http://archives.sfexaminer.com/sanfrancisco/david-chiu-retains-presidency-of-board-of-supervisors-for-third-term/Content?oid=2319628" TargetMode="External"/><Relationship Id="rId199" Type="http://schemas.openxmlformats.org/officeDocument/2006/relationships/hyperlink" Target="http://www.orangejuiceblog.com/2010/07/republican-charles-hart-announces-his-campaign-for-mayor-of-santa-ana/" TargetMode="External"/><Relationship Id="rId203" Type="http://schemas.openxmlformats.org/officeDocument/2006/relationships/hyperlink" Target="http://santaclaraca.gov/government/council/councilmembers/teresa-o-neil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publicpay.ca.gov/" TargetMode="External"/><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8" Type="http://schemas.openxmlformats.org/officeDocument/2006/relationships/hyperlink" Target="http://publicpay.ca.gov/" TargetMode="External"/><Relationship Id="rId13" Type="http://schemas.openxmlformats.org/officeDocument/2006/relationships/hyperlink" Target="http://www.stocktongov.com/government/council/default.html" TargetMode="External"/><Relationship Id="rId18" Type="http://schemas.openxmlformats.org/officeDocument/2006/relationships/hyperlink" Target="http://www.oaklandauditor.com/audits/reports" TargetMode="External"/><Relationship Id="rId26" Type="http://schemas.openxmlformats.org/officeDocument/2006/relationships/hyperlink" Target="http://www.bayareagop.com/Newsletter_HTML/2008-02_newsletter.html" TargetMode="External"/><Relationship Id="rId3" Type="http://schemas.openxmlformats.org/officeDocument/2006/relationships/hyperlink" Target="http://www.codepublishing.com/CA/SantaClara/" TargetMode="External"/><Relationship Id="rId21" Type="http://schemas.openxmlformats.org/officeDocument/2006/relationships/hyperlink" Target="http://www.sfethics.org/ethics/2012/05/public-finance-program.html" TargetMode="External"/><Relationship Id="rId7" Type="http://schemas.openxmlformats.org/officeDocument/2006/relationships/hyperlink" Target="http://qcode.us/codes/sanleandro/" TargetMode="External"/><Relationship Id="rId12" Type="http://schemas.openxmlformats.org/officeDocument/2006/relationships/hyperlink" Target="http://sfgov.org/civilservice/sites/sfgov.org.civilservice/files/migrated/FileCenter/Documents/civil_service/BOS_EO_Annual_Salary_Adjustments_FY2013_14_4_15_13_staff_report_.pdf" TargetMode="External"/><Relationship Id="rId17" Type="http://schemas.openxmlformats.org/officeDocument/2006/relationships/hyperlink" Target="http://www.ci.berkeley.ca.us/uploadedFiles/Clerk/Elections/Ballot%20Measures%202004%20march.pdf" TargetMode="External"/><Relationship Id="rId25" Type="http://schemas.openxmlformats.org/officeDocument/2006/relationships/hyperlink" Target="https://www.highbeam.com/doc/1P2-7006742.html" TargetMode="External"/><Relationship Id="rId2" Type="http://schemas.openxmlformats.org/officeDocument/2006/relationships/hyperlink" Target="http://alamedaca.gov/sites/default/files/department-files/2013-04-22/introduction_ii.pdf" TargetMode="External"/><Relationship Id="rId16" Type="http://schemas.openxmlformats.org/officeDocument/2006/relationships/hyperlink" Target="http://www.ci.berkeley.ca.us/uploadedFiles/Clerk/Elections/SIL%20candidate%20PUBLIC%20procedures2014.pdf" TargetMode="External"/><Relationship Id="rId20" Type="http://schemas.openxmlformats.org/officeDocument/2006/relationships/hyperlink" Target="http://www.commoncause.org/states/california/research-and-reports/money-talks.pdf" TargetMode="External"/><Relationship Id="rId29" Type="http://schemas.openxmlformats.org/officeDocument/2006/relationships/hyperlink" Target="http://archive.constantcontact.com/fs042/1101225812122/archive/1104355905625.html" TargetMode="External"/><Relationship Id="rId1" Type="http://schemas.openxmlformats.org/officeDocument/2006/relationships/hyperlink" Target="http://library.amlegal.com/nxt/gateway.dll/California/charter_sf/articleiilegislativebranch?f=templates$fn=default.htm$3.0$vid=amlegal:sanfrancisco_ca$anc=JD_2.101" TargetMode="External"/><Relationship Id="rId6" Type="http://schemas.openxmlformats.org/officeDocument/2006/relationships/hyperlink" Target="http://www.stocktongov.com/government/council/default.html" TargetMode="External"/><Relationship Id="rId11" Type="http://schemas.openxmlformats.org/officeDocument/2006/relationships/hyperlink" Target="http://sfgov.org/civilservice/sites/sfgov.org.civilservice/files/migrated/FileCenter/Documents/civil_service/Salary_Setting_for_CCSF_Board_of_Supervisors_LM.pdf" TargetMode="External"/><Relationship Id="rId24" Type="http://schemas.openxmlformats.org/officeDocument/2006/relationships/hyperlink" Target="http://www.sfgate.com/bayarea/article/Fight-over-Alameda-GOP-seats-heading-to-court-3264314.php" TargetMode="External"/><Relationship Id="rId5" Type="http://schemas.openxmlformats.org/officeDocument/2006/relationships/hyperlink" Target="http://www.ci.richmond.ca.us/DocumentCenter/Home/View/5129" TargetMode="External"/><Relationship Id="rId15" Type="http://schemas.openxmlformats.org/officeDocument/2006/relationships/hyperlink" Target="http://www.sfgate.com/bayarea/matier-ross/article/Oakland-Mayor-Jean-Quan-slashing-salary-25-2477161.php" TargetMode="External"/><Relationship Id="rId23" Type="http://schemas.openxmlformats.org/officeDocument/2006/relationships/hyperlink" Target="http://www.eastbaytimes.com/news/ci_25289379/among-highest-paid-state-berkeley-elected-officials-ponder" TargetMode="External"/><Relationship Id="rId28" Type="http://schemas.openxmlformats.org/officeDocument/2006/relationships/hyperlink" Target="http://www.ibabuzz.com/politics/2009/11/18/strife-leadership-change-at-alameda-county-gop/" TargetMode="External"/><Relationship Id="rId10" Type="http://schemas.openxmlformats.org/officeDocument/2006/relationships/hyperlink" Target="http://spreadsheets.latimes.com/city-council-salaries/" TargetMode="External"/><Relationship Id="rId19" Type="http://schemas.openxmlformats.org/officeDocument/2006/relationships/hyperlink" Target="http://www2.oaklandnet.com/oakca1/groups/cityadministrator/documents/memorandum/oak056296.pdf" TargetMode="External"/><Relationship Id="rId4" Type="http://schemas.openxmlformats.org/officeDocument/2006/relationships/hyperlink" Target="https://docs.google.com/document/d/1R5MnLO-OU7Myhe4Dz6ImgRZcy_Mg-48ulWNPuclcRLc/edit" TargetMode="External"/><Relationship Id="rId9" Type="http://schemas.openxmlformats.org/officeDocument/2006/relationships/hyperlink" Target="http://www.goinfocenter.org/oakland-board-of-education-e28093-the-basics-v2%20(1).pdf" TargetMode="External"/><Relationship Id="rId14" Type="http://schemas.openxmlformats.org/officeDocument/2006/relationships/hyperlink" Target="http://sfgov.org/civilservice/sites/sfgov.org.civilservice/files/%238%20-%20Final%20Report%20Salary%20Setting%20for%20the%20CCSF%20Board%20of%20Sups%20for%20a%205%20Year%20Cycle.pdf" TargetMode="External"/><Relationship Id="rId22" Type="http://schemas.openxmlformats.org/officeDocument/2006/relationships/hyperlink" Target="http://www.stocktongov.com/files/2016_Candidate_Handbook.pdf" TargetMode="External"/><Relationship Id="rId27" Type="http://schemas.openxmlformats.org/officeDocument/2006/relationships/hyperlink" Target="http://www.ibabuzz.com/politics/2009/11/18/strife-leadership-change-at-alameda-county-g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workbookViewId="0">
      <selection activeCell="A24" sqref="A24"/>
    </sheetView>
  </sheetViews>
  <sheetFormatPr defaultRowHeight="15"/>
  <cols>
    <col min="1" max="1" width="225.7109375" style="91" customWidth="1"/>
    <col min="2" max="2" width="25.7109375" style="90" customWidth="1"/>
    <col min="3" max="5" width="50.7109375" style="90" customWidth="1"/>
    <col min="6" max="16384" width="9.140625" style="91"/>
  </cols>
  <sheetData>
    <row r="2" spans="1:1">
      <c r="A2" s="89" t="s">
        <v>945</v>
      </c>
    </row>
    <row r="3" spans="1:1">
      <c r="A3" s="89"/>
    </row>
    <row r="4" spans="1:1">
      <c r="A4" s="89"/>
    </row>
    <row r="6" spans="1:1">
      <c r="A6" s="91" t="s">
        <v>980</v>
      </c>
    </row>
    <row r="8" spans="1:1">
      <c r="A8" s="91" t="s">
        <v>979</v>
      </c>
    </row>
    <row r="15" spans="1:1">
      <c r="A15" s="89" t="s">
        <v>946</v>
      </c>
    </row>
    <row r="16" spans="1:1">
      <c r="A16" s="89"/>
    </row>
    <row r="17" spans="1:1">
      <c r="A17" s="89" t="s">
        <v>3174</v>
      </c>
    </row>
  </sheetData>
  <customSheetViews>
    <customSheetView guid="{D8951DEB-B32B-42EA-9BCF-73D58A896691}" topLeftCell="A10">
      <selection activeCell="D15" sqref="D15"/>
      <pageMargins left="0.7" right="0.7" top="0.75" bottom="0.75" header="0.3" footer="0.3"/>
      <pageSetup orientation="portrait" r:id="rId1"/>
    </customSheetView>
    <customSheetView guid="{97F96FCD-F19A-48DF-8C23-B7E50D615861}" topLeftCell="A10">
      <selection activeCell="D15" sqref="D15"/>
      <pageMargins left="0.7" right="0.7" top="0.75" bottom="0.75" header="0.3" footer="0.3"/>
      <pageSetup orientation="portrait" r:id="rId2"/>
    </customSheetView>
    <customSheetView guid="{67B9C401-7108-477F-9706-029D4DBE6AC8}" topLeftCell="A7">
      <selection activeCell="C17" sqref="C17"/>
      <pageMargins left="0.7" right="0.7" top="0.75" bottom="0.75" header="0.3" footer="0.3"/>
    </customSheetView>
    <customSheetView guid="{6094A005-24DC-49A4-B578-0723EAB6A929}">
      <selection activeCell="C29" sqref="C29"/>
      <pageMargins left="0.7" right="0.7" top="0.75" bottom="0.75" header="0.3" footer="0.3"/>
      <pageSetup orientation="portrait" r:id="rId3"/>
    </customSheetView>
  </customSheetView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Z515"/>
  <sheetViews>
    <sheetView tabSelected="1" zoomScale="85" zoomScaleNormal="85" workbookViewId="0">
      <pane xSplit="5" ySplit="4" topLeftCell="AN222" activePane="bottomRight" state="frozen"/>
      <selection pane="topRight" activeCell="F1" sqref="F1"/>
      <selection pane="bottomLeft" activeCell="A5" sqref="A5"/>
      <selection pane="bottomRight" activeCell="AS236" sqref="AS236"/>
    </sheetView>
  </sheetViews>
  <sheetFormatPr defaultColWidth="14.42578125" defaultRowHeight="15.75" customHeight="1"/>
  <cols>
    <col min="1" max="1" width="12.85546875" style="19" customWidth="1"/>
    <col min="2" max="2" width="28.28515625" customWidth="1"/>
    <col min="3" max="3" width="10" customWidth="1"/>
    <col min="4" max="4" width="29.28515625" customWidth="1"/>
    <col min="5" max="5" width="14.42578125" customWidth="1"/>
    <col min="6" max="6" width="8.7109375" customWidth="1"/>
    <col min="7" max="7" width="15.7109375" style="34" customWidth="1"/>
    <col min="8" max="8" width="11.42578125" customWidth="1"/>
    <col min="9" max="9" width="13.140625" customWidth="1"/>
    <col min="10" max="10" width="15.42578125" style="2" customWidth="1"/>
    <col min="11" max="11" width="31.5703125" customWidth="1"/>
    <col min="12" max="12" width="9.5703125" customWidth="1"/>
    <col min="13" max="13" width="10.140625" style="19" customWidth="1"/>
    <col min="14" max="14" width="14.85546875" style="2" customWidth="1"/>
    <col min="15" max="15" width="14.85546875" style="172" customWidth="1"/>
    <col min="16" max="16" width="13.42578125" customWidth="1"/>
    <col min="17" max="17" width="10" style="19" customWidth="1"/>
    <col min="18" max="18" width="14.140625" customWidth="1"/>
    <col min="19" max="21" width="14.28515625" customWidth="1"/>
    <col min="22" max="22" width="25.140625" customWidth="1"/>
    <col min="23" max="24" width="14.28515625" customWidth="1"/>
    <col min="25" max="25" width="14.28515625" style="3" customWidth="1"/>
    <col min="26" max="26" width="10" style="2" customWidth="1"/>
    <col min="27" max="27" width="13.85546875" style="19" customWidth="1"/>
    <col min="28" max="28" width="14.42578125" style="2" customWidth="1"/>
    <col min="29" max="29" width="28.28515625" style="2" customWidth="1"/>
    <col min="30" max="30" width="13.140625" customWidth="1"/>
    <col min="31" max="31" width="17.7109375" customWidth="1"/>
    <col min="32" max="32" width="12.5703125" customWidth="1"/>
    <col min="33" max="33" width="18.140625" style="97" customWidth="1"/>
    <col min="34" max="35" width="18.140625" customWidth="1"/>
    <col min="36" max="36" width="18.140625" style="2" customWidth="1"/>
    <col min="37" max="37" width="18.140625" style="32" customWidth="1"/>
    <col min="38" max="38" width="15.28515625" style="2" customWidth="1"/>
    <col min="39" max="39" width="15.28515625" style="173" customWidth="1"/>
    <col min="40" max="40" width="14" style="2" customWidth="1"/>
    <col min="41" max="41" width="13.140625" style="2" customWidth="1"/>
    <col min="42" max="45" width="15.28515625" style="97" customWidth="1"/>
    <col min="46" max="47" width="15.28515625" style="179" customWidth="1"/>
    <col min="48" max="49" width="15.42578125" style="97" customWidth="1"/>
    <col min="50" max="51" width="15.28515625" style="97" customWidth="1"/>
    <col min="52" max="55" width="15.28515625" style="173" customWidth="1"/>
    <col min="56" max="59" width="15.28515625" style="97" customWidth="1"/>
    <col min="60" max="61" width="15.28515625" style="93" customWidth="1"/>
    <col min="62" max="65" width="15.42578125" style="97" customWidth="1"/>
    <col min="66" max="66" width="18.140625" style="94" customWidth="1"/>
    <col min="67" max="68" width="15.28515625" style="93" customWidth="1"/>
    <col min="69" max="69" width="15.28515625" style="94" customWidth="1"/>
    <col min="70" max="70" width="15.42578125" style="179" customWidth="1"/>
    <col min="71" max="71" width="14.42578125" style="19" customWidth="1"/>
    <col min="72" max="74" width="16.7109375" style="179" customWidth="1"/>
    <col min="75" max="75" width="20.28515625" style="18" customWidth="1"/>
    <col min="76" max="76" width="20.28515625" style="28" customWidth="1"/>
    <col min="77" max="77" width="20.5703125" style="2" customWidth="1"/>
    <col min="78" max="78" width="20.5703125" style="28" customWidth="1"/>
    <col min="79" max="79" width="16.42578125" style="18" customWidth="1"/>
    <col min="80" max="80" width="18.140625" customWidth="1"/>
    <col min="81" max="81" width="39.140625" customWidth="1"/>
    <col min="82" max="82" width="20" customWidth="1"/>
    <col min="83" max="83" width="12.7109375" customWidth="1"/>
    <col min="84" max="84" width="14.28515625" customWidth="1"/>
    <col min="85" max="85" width="11.7109375" customWidth="1"/>
    <col min="86" max="86" width="11.42578125" customWidth="1"/>
    <col min="87" max="87" width="12.28515625" customWidth="1"/>
    <col min="88" max="88" width="15.140625" customWidth="1"/>
    <col min="89" max="89" width="13.85546875" customWidth="1"/>
    <col min="90" max="90" width="12.5703125" customWidth="1"/>
    <col min="91" max="91" width="18.140625" customWidth="1"/>
    <col min="92" max="93" width="18.140625" style="96" customWidth="1"/>
    <col min="94" max="94" width="16" customWidth="1"/>
    <col min="95" max="95" width="15.42578125" customWidth="1"/>
    <col min="96" max="96" width="10" customWidth="1"/>
    <col min="97" max="97" width="15.7109375" customWidth="1"/>
    <col min="98" max="98" width="12.7109375" customWidth="1"/>
    <col min="99" max="99" width="11.42578125" customWidth="1"/>
    <col min="100" max="100" width="12.7109375" customWidth="1"/>
    <col min="101" max="101" width="12.5703125" customWidth="1"/>
    <col min="102" max="102" width="21.42578125" customWidth="1"/>
    <col min="103" max="103" width="20.140625" customWidth="1"/>
    <col min="104" max="105" width="20.140625" style="38" customWidth="1"/>
    <col min="106" max="106" width="17.5703125" customWidth="1"/>
    <col min="107" max="109" width="14.42578125" style="2"/>
    <col min="114" max="114" width="18.7109375" customWidth="1"/>
    <col min="115" max="115" width="14.140625" style="34" customWidth="1"/>
    <col min="116" max="118" width="13.140625" customWidth="1"/>
    <col min="119" max="119" width="16.140625" customWidth="1"/>
    <col min="120" max="120" width="16.28515625" customWidth="1"/>
    <col min="121" max="121" width="17" customWidth="1"/>
    <col min="127" max="127" width="16.42578125" customWidth="1"/>
    <col min="128" max="129" width="14.85546875" bestFit="1" customWidth="1"/>
    <col min="130" max="130" width="94.140625" customWidth="1"/>
  </cols>
  <sheetData>
    <row r="1" spans="1:130" s="21" customFormat="1" ht="28.5" customHeight="1">
      <c r="A1" s="85" t="s">
        <v>3175</v>
      </c>
      <c r="B1" s="85"/>
      <c r="C1" s="179"/>
      <c r="D1" s="179"/>
      <c r="E1" s="179"/>
      <c r="G1" s="34"/>
      <c r="O1" s="172"/>
      <c r="AG1" s="97"/>
      <c r="AK1" s="32"/>
      <c r="AM1" s="173"/>
      <c r="AP1" s="97"/>
      <c r="AQ1" s="97"/>
      <c r="AR1" s="97"/>
      <c r="AS1" s="97"/>
      <c r="AT1" s="179"/>
      <c r="AU1" s="179"/>
      <c r="AV1" s="97"/>
      <c r="AW1" s="97"/>
      <c r="AX1" s="97"/>
      <c r="AY1" s="97"/>
      <c r="AZ1" s="173"/>
      <c r="BA1" s="173"/>
      <c r="BB1" s="173"/>
      <c r="BC1" s="173"/>
      <c r="BD1" s="97"/>
      <c r="BE1" s="97"/>
      <c r="BF1" s="97"/>
      <c r="BG1" s="97"/>
      <c r="BH1" s="93"/>
      <c r="BI1" s="93"/>
      <c r="BJ1" s="97"/>
      <c r="BK1" s="97"/>
      <c r="BL1" s="97"/>
      <c r="BM1" s="97"/>
      <c r="BN1" s="94"/>
      <c r="BO1" s="93"/>
      <c r="BP1" s="93"/>
      <c r="BQ1" s="94"/>
      <c r="BR1" s="179"/>
      <c r="BT1" s="179"/>
      <c r="BU1" s="179"/>
      <c r="BV1" s="179"/>
      <c r="BX1" s="28"/>
      <c r="BZ1" s="28"/>
      <c r="CN1" s="96"/>
      <c r="CO1" s="96"/>
      <c r="CZ1" s="38"/>
      <c r="DA1" s="38"/>
      <c r="DK1" s="34"/>
    </row>
    <row r="2" spans="1:130" s="2" customFormat="1" ht="15.75" customHeight="1">
      <c r="A2" s="19"/>
      <c r="G2" s="34"/>
      <c r="M2" s="19"/>
      <c r="O2" s="172"/>
      <c r="Q2" s="19"/>
      <c r="Y2" s="3"/>
      <c r="AA2" s="19"/>
      <c r="AG2" s="97"/>
      <c r="AK2" s="32"/>
      <c r="AM2" s="173"/>
      <c r="AP2" s="97"/>
      <c r="AQ2" s="97"/>
      <c r="AR2" s="97"/>
      <c r="AS2" s="97"/>
      <c r="AT2" s="179"/>
      <c r="AU2" s="179"/>
      <c r="AV2" s="97"/>
      <c r="AW2" s="97"/>
      <c r="AX2" s="97"/>
      <c r="AY2" s="97"/>
      <c r="AZ2" s="173"/>
      <c r="BA2" s="173"/>
      <c r="BB2" s="173"/>
      <c r="BC2" s="173"/>
      <c r="BD2" s="97"/>
      <c r="BE2" s="97"/>
      <c r="BF2" s="97"/>
      <c r="BG2" s="97"/>
      <c r="BH2" s="93"/>
      <c r="BI2" s="93"/>
      <c r="BJ2" s="97"/>
      <c r="BK2" s="97"/>
      <c r="BL2" s="97"/>
      <c r="BM2" s="97"/>
      <c r="BN2" s="94"/>
      <c r="BO2" s="93"/>
      <c r="BP2" s="93"/>
      <c r="BQ2" s="94"/>
      <c r="BR2" s="179"/>
      <c r="BS2" s="19"/>
      <c r="BT2" s="179"/>
      <c r="BU2" s="179"/>
      <c r="BV2" s="179"/>
      <c r="BW2" s="18"/>
      <c r="BX2" s="28"/>
      <c r="BZ2" s="28"/>
      <c r="CA2" s="18"/>
      <c r="CN2" s="96"/>
      <c r="CO2" s="96"/>
      <c r="CZ2" s="38"/>
      <c r="DA2" s="38"/>
      <c r="DK2" s="34"/>
    </row>
    <row r="3" spans="1:130" s="2" customFormat="1" ht="27.75" customHeight="1">
      <c r="A3" s="9"/>
      <c r="B3" s="7"/>
      <c r="C3" s="7"/>
      <c r="D3" s="204" t="s">
        <v>2</v>
      </c>
      <c r="E3" s="204"/>
      <c r="F3" s="204"/>
      <c r="G3" s="204"/>
      <c r="H3" s="204"/>
      <c r="I3" s="204"/>
      <c r="J3" s="208" t="s">
        <v>511</v>
      </c>
      <c r="K3" s="208"/>
      <c r="L3" s="208"/>
      <c r="M3" s="208"/>
      <c r="N3" s="208"/>
      <c r="O3" s="208"/>
      <c r="P3" s="208"/>
      <c r="Q3" s="208"/>
      <c r="R3" s="208"/>
      <c r="S3" s="208"/>
      <c r="T3" s="208"/>
      <c r="U3" s="208"/>
      <c r="V3" s="208"/>
      <c r="W3" s="208"/>
      <c r="X3" s="208"/>
      <c r="Y3" s="208"/>
      <c r="Z3" s="211" t="s">
        <v>3152</v>
      </c>
      <c r="AA3" s="211"/>
      <c r="AB3" s="211"/>
      <c r="AC3" s="211"/>
      <c r="AD3" s="211"/>
      <c r="AE3" s="211"/>
      <c r="AF3" s="211"/>
      <c r="AG3" s="211" t="s">
        <v>3154</v>
      </c>
      <c r="AH3" s="211"/>
      <c r="AI3" s="211"/>
      <c r="AJ3" s="211"/>
      <c r="AK3" s="211"/>
      <c r="AL3" s="211"/>
      <c r="AM3" s="211"/>
      <c r="AN3" s="211"/>
      <c r="AO3" s="211"/>
      <c r="AP3" s="211"/>
      <c r="AQ3" s="211"/>
      <c r="AR3" s="211" t="s">
        <v>3159</v>
      </c>
      <c r="AS3" s="211"/>
      <c r="AT3" s="211"/>
      <c r="AU3" s="211"/>
      <c r="AV3" s="211"/>
      <c r="AW3" s="211"/>
      <c r="AX3" s="211" t="s">
        <v>3162</v>
      </c>
      <c r="AY3" s="211"/>
      <c r="AZ3" s="211"/>
      <c r="BA3" s="211"/>
      <c r="BB3" s="211"/>
      <c r="BC3" s="211"/>
      <c r="BD3" s="211" t="s">
        <v>3172</v>
      </c>
      <c r="BE3" s="211"/>
      <c r="BF3" s="211"/>
      <c r="BG3" s="211"/>
      <c r="BH3" s="211" t="s">
        <v>3173</v>
      </c>
      <c r="BI3" s="211"/>
      <c r="BJ3" s="211"/>
      <c r="BK3" s="211"/>
      <c r="BL3" s="211"/>
      <c r="BM3" s="211"/>
      <c r="BN3" s="211" t="s">
        <v>3153</v>
      </c>
      <c r="BO3" s="211"/>
      <c r="BP3" s="211"/>
      <c r="BQ3" s="211"/>
      <c r="BR3" s="211" t="s">
        <v>3155</v>
      </c>
      <c r="BS3" s="211"/>
      <c r="BT3" s="211"/>
      <c r="BU3" s="211"/>
      <c r="BV3" s="211"/>
      <c r="BW3" s="211" t="s">
        <v>3156</v>
      </c>
      <c r="BX3" s="211"/>
      <c r="BY3" s="211"/>
      <c r="BZ3" s="211"/>
      <c r="CA3" s="211"/>
      <c r="CB3" s="211"/>
      <c r="CC3" s="205" t="s">
        <v>495</v>
      </c>
      <c r="CD3" s="205"/>
      <c r="CE3" s="205"/>
      <c r="CF3" s="205"/>
      <c r="CG3" s="205"/>
      <c r="CH3" s="205"/>
      <c r="CI3" s="205"/>
      <c r="CJ3" s="205"/>
      <c r="CK3" s="205"/>
      <c r="CL3" s="205"/>
      <c r="CM3" s="205"/>
      <c r="CN3" s="95"/>
      <c r="CO3" s="95"/>
      <c r="CP3" s="204" t="s">
        <v>21</v>
      </c>
      <c r="CQ3" s="204"/>
      <c r="CR3" s="204"/>
      <c r="CS3" s="204"/>
      <c r="CT3" s="204"/>
      <c r="CU3" s="205" t="s">
        <v>496</v>
      </c>
      <c r="CV3" s="205"/>
      <c r="CW3" s="205"/>
      <c r="CX3" s="210" t="s">
        <v>944</v>
      </c>
      <c r="CY3" s="210"/>
      <c r="CZ3" s="210"/>
      <c r="DA3" s="210"/>
      <c r="DB3" s="209" t="s">
        <v>516</v>
      </c>
      <c r="DC3" s="209"/>
      <c r="DD3" s="209"/>
      <c r="DE3" s="209"/>
      <c r="DF3" s="209"/>
      <c r="DG3" s="209"/>
      <c r="DH3" s="209"/>
      <c r="DI3" s="209"/>
      <c r="DJ3" s="209"/>
      <c r="DK3" s="206" t="s">
        <v>520</v>
      </c>
      <c r="DL3" s="206"/>
      <c r="DM3" s="206"/>
      <c r="DN3" s="206"/>
      <c r="DO3" s="206"/>
      <c r="DP3" s="207" t="s">
        <v>521</v>
      </c>
      <c r="DQ3" s="207"/>
      <c r="DR3" s="207"/>
      <c r="DS3" s="207"/>
      <c r="DT3" s="207"/>
      <c r="DU3" s="207"/>
      <c r="DV3" s="207"/>
      <c r="DW3" s="207"/>
      <c r="DX3" s="207"/>
      <c r="DY3" s="207"/>
      <c r="DZ3" s="87"/>
    </row>
    <row r="4" spans="1:130" s="12" customFormat="1" ht="135" customHeight="1">
      <c r="A4" s="11" t="s">
        <v>551</v>
      </c>
      <c r="B4" s="9" t="s">
        <v>0</v>
      </c>
      <c r="C4" s="9" t="s">
        <v>1</v>
      </c>
      <c r="D4" s="15" t="s">
        <v>2</v>
      </c>
      <c r="E4" s="15" t="s">
        <v>3</v>
      </c>
      <c r="F4" s="10" t="s">
        <v>12</v>
      </c>
      <c r="G4" s="36" t="s">
        <v>515</v>
      </c>
      <c r="H4" s="10" t="s">
        <v>14</v>
      </c>
      <c r="I4" s="10" t="s">
        <v>759</v>
      </c>
      <c r="J4" s="11" t="s">
        <v>903</v>
      </c>
      <c r="K4" s="11" t="s">
        <v>760</v>
      </c>
      <c r="L4" s="11" t="s">
        <v>18</v>
      </c>
      <c r="M4" s="11" t="s">
        <v>767</v>
      </c>
      <c r="N4" s="11" t="s">
        <v>514</v>
      </c>
      <c r="O4" s="11" t="s">
        <v>3142</v>
      </c>
      <c r="P4" s="11" t="s">
        <v>761</v>
      </c>
      <c r="Q4" s="11" t="s">
        <v>565</v>
      </c>
      <c r="R4" s="11" t="s">
        <v>503</v>
      </c>
      <c r="S4" s="11" t="s">
        <v>502</v>
      </c>
      <c r="T4" s="11" t="s">
        <v>504</v>
      </c>
      <c r="U4" s="11" t="s">
        <v>506</v>
      </c>
      <c r="V4" s="11" t="s">
        <v>907</v>
      </c>
      <c r="W4" s="11" t="s">
        <v>505</v>
      </c>
      <c r="X4" s="11" t="s">
        <v>507</v>
      </c>
      <c r="Y4" s="11" t="s">
        <v>766</v>
      </c>
      <c r="Z4" s="16" t="s">
        <v>763</v>
      </c>
      <c r="AA4" s="16" t="s">
        <v>764</v>
      </c>
      <c r="AB4" s="16" t="s">
        <v>765</v>
      </c>
      <c r="AC4" s="16" t="s">
        <v>10</v>
      </c>
      <c r="AD4" s="16" t="s">
        <v>11</v>
      </c>
      <c r="AE4" s="16" t="s">
        <v>762</v>
      </c>
      <c r="AF4" s="16" t="s">
        <v>848</v>
      </c>
      <c r="AG4" s="16" t="s">
        <v>978</v>
      </c>
      <c r="AH4" s="16" t="s">
        <v>813</v>
      </c>
      <c r="AI4" s="16" t="s">
        <v>814</v>
      </c>
      <c r="AJ4" s="16" t="s">
        <v>509</v>
      </c>
      <c r="AK4" s="14" t="s">
        <v>558</v>
      </c>
      <c r="AL4" s="14" t="s">
        <v>3145</v>
      </c>
      <c r="AM4" s="14" t="s">
        <v>3146</v>
      </c>
      <c r="AN4" s="14" t="s">
        <v>3147</v>
      </c>
      <c r="AO4" s="14" t="s">
        <v>519</v>
      </c>
      <c r="AP4" s="14" t="s">
        <v>977</v>
      </c>
      <c r="AQ4" s="14" t="s">
        <v>976</v>
      </c>
      <c r="AR4" s="14" t="s">
        <v>3160</v>
      </c>
      <c r="AS4" s="14" t="s">
        <v>3161</v>
      </c>
      <c r="AT4" s="14" t="s">
        <v>3157</v>
      </c>
      <c r="AU4" s="14" t="s">
        <v>3158</v>
      </c>
      <c r="AV4" s="14" t="s">
        <v>971</v>
      </c>
      <c r="AW4" s="14" t="s">
        <v>972</v>
      </c>
      <c r="AX4" s="14" t="s">
        <v>3163</v>
      </c>
      <c r="AY4" s="14" t="s">
        <v>3164</v>
      </c>
      <c r="AZ4" s="14" t="s">
        <v>3165</v>
      </c>
      <c r="BA4" s="14" t="s">
        <v>3166</v>
      </c>
      <c r="BB4" s="14" t="s">
        <v>3167</v>
      </c>
      <c r="BC4" s="14" t="s">
        <v>3168</v>
      </c>
      <c r="BD4" s="14" t="s">
        <v>3169</v>
      </c>
      <c r="BE4" s="14" t="s">
        <v>3170</v>
      </c>
      <c r="BF4" s="14" t="s">
        <v>3171</v>
      </c>
      <c r="BG4" s="14" t="s">
        <v>968</v>
      </c>
      <c r="BH4" s="14" t="s">
        <v>954</v>
      </c>
      <c r="BI4" s="14" t="s">
        <v>955</v>
      </c>
      <c r="BJ4" s="14" t="s">
        <v>969</v>
      </c>
      <c r="BK4" s="14" t="s">
        <v>970</v>
      </c>
      <c r="BL4" s="14" t="s">
        <v>974</v>
      </c>
      <c r="BM4" s="14" t="s">
        <v>975</v>
      </c>
      <c r="BN4" s="16" t="s">
        <v>973</v>
      </c>
      <c r="BO4" s="14" t="s">
        <v>956</v>
      </c>
      <c r="BP4" s="14" t="s">
        <v>957</v>
      </c>
      <c r="BQ4" s="14" t="s">
        <v>961</v>
      </c>
      <c r="BR4" s="14" t="s">
        <v>3151</v>
      </c>
      <c r="BS4" s="14" t="s">
        <v>852</v>
      </c>
      <c r="BT4" s="14" t="s">
        <v>849</v>
      </c>
      <c r="BU4" s="14" t="s">
        <v>850</v>
      </c>
      <c r="BV4" s="14" t="s">
        <v>851</v>
      </c>
      <c r="BW4" s="14" t="s">
        <v>804</v>
      </c>
      <c r="BX4" s="14" t="s">
        <v>803</v>
      </c>
      <c r="BY4" s="14" t="s">
        <v>897</v>
      </c>
      <c r="BZ4" s="14" t="s">
        <v>898</v>
      </c>
      <c r="CA4" s="14" t="s">
        <v>801</v>
      </c>
      <c r="CB4" s="14" t="s">
        <v>802</v>
      </c>
      <c r="CC4" s="11" t="s">
        <v>6</v>
      </c>
      <c r="CD4" s="11" t="s">
        <v>805</v>
      </c>
      <c r="CE4" s="11" t="s">
        <v>4</v>
      </c>
      <c r="CF4" s="11" t="s">
        <v>5</v>
      </c>
      <c r="CG4" s="11" t="s">
        <v>9</v>
      </c>
      <c r="CH4" s="11" t="s">
        <v>816</v>
      </c>
      <c r="CI4" s="11" t="s">
        <v>15</v>
      </c>
      <c r="CJ4" s="11" t="s">
        <v>16</v>
      </c>
      <c r="CK4" s="11" t="s">
        <v>17</v>
      </c>
      <c r="CL4" s="11" t="s">
        <v>815</v>
      </c>
      <c r="CM4" s="11" t="s">
        <v>817</v>
      </c>
      <c r="CN4" s="11" t="s">
        <v>964</v>
      </c>
      <c r="CO4" s="11" t="s">
        <v>965</v>
      </c>
      <c r="CP4" s="13" t="s">
        <v>962</v>
      </c>
      <c r="CQ4" s="13" t="s">
        <v>492</v>
      </c>
      <c r="CR4" s="13" t="s">
        <v>493</v>
      </c>
      <c r="CS4" s="13" t="s">
        <v>7</v>
      </c>
      <c r="CT4" s="13" t="s">
        <v>8</v>
      </c>
      <c r="CU4" s="11" t="s">
        <v>806</v>
      </c>
      <c r="CV4" s="11" t="s">
        <v>909</v>
      </c>
      <c r="CW4" s="11" t="s">
        <v>910</v>
      </c>
      <c r="CX4" s="86" t="s">
        <v>746</v>
      </c>
      <c r="CY4" s="86" t="s">
        <v>747</v>
      </c>
      <c r="CZ4" s="86" t="s">
        <v>929</v>
      </c>
      <c r="DA4" s="86" t="s">
        <v>930</v>
      </c>
      <c r="DB4" s="17" t="s">
        <v>517</v>
      </c>
      <c r="DC4" s="17" t="s">
        <v>826</v>
      </c>
      <c r="DD4" s="17" t="s">
        <v>818</v>
      </c>
      <c r="DE4" s="17" t="s">
        <v>827</v>
      </c>
      <c r="DF4" s="17" t="s">
        <v>821</v>
      </c>
      <c r="DG4" s="17" t="s">
        <v>820</v>
      </c>
      <c r="DH4" s="17" t="s">
        <v>841</v>
      </c>
      <c r="DI4" s="20" t="s">
        <v>807</v>
      </c>
      <c r="DJ4" s="20" t="s">
        <v>522</v>
      </c>
      <c r="DK4" s="35" t="s">
        <v>758</v>
      </c>
      <c r="DL4" s="22" t="s">
        <v>825</v>
      </c>
      <c r="DM4" s="22" t="s">
        <v>824</v>
      </c>
      <c r="DN4" s="22" t="s">
        <v>823</v>
      </c>
      <c r="DO4" s="22" t="s">
        <v>822</v>
      </c>
      <c r="DP4" s="17" t="s">
        <v>812</v>
      </c>
      <c r="DQ4" s="17" t="s">
        <v>845</v>
      </c>
      <c r="DR4" s="17" t="s">
        <v>808</v>
      </c>
      <c r="DS4" s="17" t="s">
        <v>809</v>
      </c>
      <c r="DT4" s="17" t="s">
        <v>810</v>
      </c>
      <c r="DU4" s="17" t="s">
        <v>843</v>
      </c>
      <c r="DV4" s="17" t="s">
        <v>774</v>
      </c>
      <c r="DW4" s="27" t="s">
        <v>811</v>
      </c>
      <c r="DX4" s="17" t="s">
        <v>752</v>
      </c>
      <c r="DY4" s="17" t="s">
        <v>905</v>
      </c>
      <c r="DZ4" s="88" t="s">
        <v>19</v>
      </c>
    </row>
    <row r="5" spans="1:130" s="5" customFormat="1" ht="14.25" hidden="1" customHeight="1">
      <c r="A5" s="45">
        <v>1019</v>
      </c>
      <c r="B5" s="46" t="s">
        <v>20</v>
      </c>
      <c r="C5" s="47">
        <v>2000</v>
      </c>
      <c r="D5" s="47" t="s">
        <v>21</v>
      </c>
      <c r="E5" s="46" t="s">
        <v>22</v>
      </c>
      <c r="F5" s="46">
        <v>4</v>
      </c>
      <c r="G5" s="48">
        <v>1200</v>
      </c>
      <c r="H5" s="46" t="s">
        <v>557</v>
      </c>
      <c r="I5" s="46">
        <v>2</v>
      </c>
      <c r="J5" s="46">
        <v>7</v>
      </c>
      <c r="K5" s="49" t="s">
        <v>50</v>
      </c>
      <c r="L5" s="49" t="s">
        <v>40</v>
      </c>
      <c r="M5" s="49" t="s">
        <v>35</v>
      </c>
      <c r="N5" s="49" t="s">
        <v>513</v>
      </c>
      <c r="O5" s="49"/>
      <c r="P5" s="49" t="s">
        <v>31</v>
      </c>
      <c r="Q5" s="49" t="s">
        <v>29</v>
      </c>
      <c r="R5" s="49">
        <v>3</v>
      </c>
      <c r="S5" s="50">
        <f t="shared" ref="S5:S36" si="0">(R5/J5)*100</f>
        <v>42.857142857142854</v>
      </c>
      <c r="T5" s="49">
        <v>1</v>
      </c>
      <c r="U5" s="50">
        <f t="shared" ref="U5:U36" si="1">(T5/J5)*100</f>
        <v>14.285714285714285</v>
      </c>
      <c r="V5" s="49" t="s">
        <v>858</v>
      </c>
      <c r="W5" s="49">
        <v>0</v>
      </c>
      <c r="X5" s="50">
        <f t="shared" ref="X5:X36" si="2">(W5/J5)*100</f>
        <v>0</v>
      </c>
      <c r="Y5" s="51" t="str">
        <f t="shared" ref="Y5:Y36" si="3">IF(L5="M","No", IF(P5="n/a","No",IF(P5="white","No","Yes")))</f>
        <v>No</v>
      </c>
      <c r="Z5" s="45" t="s">
        <v>29</v>
      </c>
      <c r="AA5" s="49" t="s">
        <v>29</v>
      </c>
      <c r="AB5" s="45" t="s">
        <v>35</v>
      </c>
      <c r="AC5" s="46" t="s">
        <v>26</v>
      </c>
      <c r="AD5" s="46" t="s">
        <v>27</v>
      </c>
      <c r="AE5" s="46" t="s">
        <v>155</v>
      </c>
      <c r="AF5" s="46" t="s">
        <v>29</v>
      </c>
      <c r="AG5" s="103"/>
      <c r="AH5" s="52">
        <f>SUM(10897+9241+7541+4895+4051+3794+3060)</f>
        <v>43479</v>
      </c>
      <c r="AI5" s="52">
        <f>SUM(10897+9241+7541+4895+4051+3794+3060)</f>
        <v>43479</v>
      </c>
      <c r="AJ5" s="102">
        <v>21.25</v>
      </c>
      <c r="AK5" s="104">
        <v>63.75</v>
      </c>
      <c r="AL5" s="102">
        <v>21.25</v>
      </c>
      <c r="AM5" s="102"/>
      <c r="AN5" s="53">
        <f t="shared" ref="AN5:AN36" si="4">AL5/(1/(I5+1))</f>
        <v>63.75</v>
      </c>
      <c r="AO5" s="53">
        <v>17.34</v>
      </c>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54" t="s">
        <v>23</v>
      </c>
      <c r="BT5" s="45" t="str">
        <f t="shared" ref="BT5:BT36" si="5">IF(J5=I5, "No", IF(AJ5/AO5&lt;2, "Yes", "No"))</f>
        <v>Yes</v>
      </c>
      <c r="BU5" s="45" t="str">
        <f t="shared" ref="BU5:BU36" si="6">IF(J5=I5, "No", IF(AJ5/AO5&lt;1.5, "Yes", "No"))</f>
        <v>Yes</v>
      </c>
      <c r="BV5" s="45" t="str">
        <f t="shared" ref="BV5:BV36" si="7">IF(J5=I5, "No", IF((ABS(AJ5-AO5))&lt;(5/I5), "Yes", "No"))</f>
        <v>No</v>
      </c>
      <c r="BW5" s="55">
        <f t="shared" ref="BW5:BW19" si="8">(27449/(27449+7290))*100</f>
        <v>79.014939981001177</v>
      </c>
      <c r="BX5" s="55">
        <v>73.323479072662195</v>
      </c>
      <c r="BY5" s="55">
        <v>73.0684790726622</v>
      </c>
      <c r="BZ5" s="55">
        <f>BX5-(0.0051*100/2)</f>
        <v>73.0684790726622</v>
      </c>
      <c r="CA5" s="45">
        <v>2000</v>
      </c>
      <c r="CB5" s="55">
        <f t="shared" ref="CB5:CB36" si="9">((AI5/I5)/DB5)*100</f>
        <v>43.601083032490976</v>
      </c>
      <c r="CC5" s="46" t="s">
        <v>178</v>
      </c>
      <c r="CD5" s="46" t="s">
        <v>179</v>
      </c>
      <c r="CE5" s="46" t="s">
        <v>179</v>
      </c>
      <c r="CF5" s="46">
        <v>1</v>
      </c>
      <c r="CG5" s="46" t="str">
        <f t="shared" ref="CG5:CG36" si="10">IF(CD5="Primary (decisive)", "Yes", "No")</f>
        <v>No</v>
      </c>
      <c r="CH5" s="46" t="s">
        <v>29</v>
      </c>
      <c r="CI5" s="56">
        <v>25</v>
      </c>
      <c r="CJ5" s="46">
        <v>20</v>
      </c>
      <c r="CK5" s="46" t="s">
        <v>23</v>
      </c>
      <c r="CL5" s="49" t="s">
        <v>29</v>
      </c>
      <c r="CM5" s="50">
        <v>0</v>
      </c>
      <c r="CN5" s="50"/>
      <c r="CO5" s="50"/>
      <c r="CP5" s="46" t="s">
        <v>23</v>
      </c>
      <c r="CQ5" s="46" t="s">
        <v>24</v>
      </c>
      <c r="CR5" s="46">
        <v>5</v>
      </c>
      <c r="CS5" s="46" t="s">
        <v>854</v>
      </c>
      <c r="CT5" s="46" t="s">
        <v>25</v>
      </c>
      <c r="CU5" s="46" t="s">
        <v>29</v>
      </c>
      <c r="CV5" s="46" t="s">
        <v>23</v>
      </c>
      <c r="CW5" s="46" t="s">
        <v>23</v>
      </c>
      <c r="CX5" s="49" t="s">
        <v>743</v>
      </c>
      <c r="CY5" s="49" t="s">
        <v>51</v>
      </c>
      <c r="CZ5" s="49">
        <v>0</v>
      </c>
      <c r="DA5" s="49">
        <v>1</v>
      </c>
      <c r="DB5" s="64">
        <v>49860</v>
      </c>
      <c r="DC5" s="58">
        <v>61.68</v>
      </c>
      <c r="DD5" s="58">
        <v>5.33</v>
      </c>
      <c r="DE5" s="58">
        <v>7.42</v>
      </c>
      <c r="DF5" s="58">
        <v>20.190000000000001</v>
      </c>
      <c r="DG5" s="58">
        <v>5.3799999999999955</v>
      </c>
      <c r="DH5" s="58">
        <v>38.32</v>
      </c>
      <c r="DI5" s="45" t="s">
        <v>29</v>
      </c>
      <c r="DJ5" s="59" t="str">
        <f t="shared" ref="DJ5:DJ36" si="11">IF(DH5&lt;50,"N/A",IF(DD5&gt;50,"African American",IF(DE5&gt;50,"Latino",IF(DF5&gt;50,"Asian","No single majority group"))))</f>
        <v>N/A</v>
      </c>
      <c r="DK5" s="65">
        <v>49860</v>
      </c>
      <c r="DL5" s="58">
        <v>61.68</v>
      </c>
      <c r="DM5" s="58">
        <v>5.33</v>
      </c>
      <c r="DN5" s="58">
        <v>7.42</v>
      </c>
      <c r="DO5" s="58">
        <v>38.32</v>
      </c>
      <c r="DP5" s="61">
        <v>52</v>
      </c>
      <c r="DQ5" s="62">
        <v>77379.13</v>
      </c>
      <c r="DR5" s="53">
        <v>8.1999999999999993</v>
      </c>
      <c r="DS5" s="58">
        <v>74.7</v>
      </c>
      <c r="DT5" s="53">
        <v>47.9</v>
      </c>
      <c r="DU5" s="55">
        <v>2.35</v>
      </c>
      <c r="DV5" s="102">
        <v>38.299999999999997</v>
      </c>
      <c r="DW5" s="53">
        <v>88.4</v>
      </c>
      <c r="DX5" s="53">
        <v>75.099400000000003</v>
      </c>
      <c r="DY5" s="53">
        <v>36.523699999999998</v>
      </c>
      <c r="DZ5" s="63"/>
    </row>
    <row r="6" spans="1:130" s="5" customFormat="1" ht="14.25" hidden="1" customHeight="1">
      <c r="A6" s="45">
        <v>1020</v>
      </c>
      <c r="B6" s="46" t="s">
        <v>20</v>
      </c>
      <c r="C6" s="47">
        <v>2000</v>
      </c>
      <c r="D6" s="47" t="s">
        <v>21</v>
      </c>
      <c r="E6" s="46" t="s">
        <v>22</v>
      </c>
      <c r="F6" s="46">
        <v>4</v>
      </c>
      <c r="G6" s="48">
        <v>1200</v>
      </c>
      <c r="H6" s="46" t="s">
        <v>557</v>
      </c>
      <c r="I6" s="46">
        <v>2</v>
      </c>
      <c r="J6" s="46">
        <v>7</v>
      </c>
      <c r="K6" s="49" t="s">
        <v>49</v>
      </c>
      <c r="L6" s="49" t="s">
        <v>30</v>
      </c>
      <c r="M6" s="49" t="s">
        <v>29</v>
      </c>
      <c r="N6" s="49" t="s">
        <v>513</v>
      </c>
      <c r="O6" s="49"/>
      <c r="P6" s="49" t="s">
        <v>201</v>
      </c>
      <c r="Q6" s="49" t="s">
        <v>35</v>
      </c>
      <c r="R6" s="49">
        <v>3</v>
      </c>
      <c r="S6" s="50">
        <f t="shared" si="0"/>
        <v>42.857142857142854</v>
      </c>
      <c r="T6" s="49">
        <v>1</v>
      </c>
      <c r="U6" s="50">
        <f t="shared" si="1"/>
        <v>14.285714285714285</v>
      </c>
      <c r="V6" s="49" t="s">
        <v>858</v>
      </c>
      <c r="W6" s="49">
        <v>0</v>
      </c>
      <c r="X6" s="50">
        <f t="shared" si="2"/>
        <v>0</v>
      </c>
      <c r="Y6" s="51" t="str">
        <f t="shared" si="3"/>
        <v>No</v>
      </c>
      <c r="Z6" s="45" t="s">
        <v>29</v>
      </c>
      <c r="AA6" s="49" t="s">
        <v>35</v>
      </c>
      <c r="AB6" s="45" t="s">
        <v>29</v>
      </c>
      <c r="AC6" s="46" t="s">
        <v>26</v>
      </c>
      <c r="AD6" s="46" t="s">
        <v>27</v>
      </c>
      <c r="AE6" s="46" t="s">
        <v>155</v>
      </c>
      <c r="AF6" s="46" t="s">
        <v>29</v>
      </c>
      <c r="AG6" s="103"/>
      <c r="AH6" s="52">
        <f>SUM(10897+9241+7541+4895+4051+3794+3060)</f>
        <v>43479</v>
      </c>
      <c r="AI6" s="52">
        <f>SUM(10897+9241+7541+4895+4051+3794+3060)</f>
        <v>43479</v>
      </c>
      <c r="AJ6" s="102">
        <v>25.06</v>
      </c>
      <c r="AK6" s="104">
        <v>75.180000000000007</v>
      </c>
      <c r="AL6" s="102">
        <v>25.06</v>
      </c>
      <c r="AM6" s="102"/>
      <c r="AN6" s="53">
        <f t="shared" si="4"/>
        <v>75.180000000000007</v>
      </c>
      <c r="AO6" s="53">
        <v>17.34</v>
      </c>
      <c r="AP6" s="102"/>
      <c r="AQ6" s="102"/>
      <c r="AR6" s="50"/>
      <c r="AS6" s="102"/>
      <c r="AT6" s="102"/>
      <c r="AU6" s="102"/>
      <c r="AV6" s="102"/>
      <c r="AW6" s="102"/>
      <c r="AX6" s="50"/>
      <c r="AY6" s="50"/>
      <c r="AZ6" s="102"/>
      <c r="BA6" s="102"/>
      <c r="BB6" s="102"/>
      <c r="BC6" s="102"/>
      <c r="BD6" s="50"/>
      <c r="BE6" s="50"/>
      <c r="BF6" s="50"/>
      <c r="BG6" s="50"/>
      <c r="BH6" s="102"/>
      <c r="BI6" s="102"/>
      <c r="BJ6" s="102"/>
      <c r="BK6" s="102"/>
      <c r="BL6" s="102"/>
      <c r="BM6" s="102"/>
      <c r="BN6" s="102"/>
      <c r="BO6" s="50"/>
      <c r="BP6" s="50"/>
      <c r="BQ6" s="50"/>
      <c r="BR6" s="102"/>
      <c r="BS6" s="54" t="s">
        <v>23</v>
      </c>
      <c r="BT6" s="45" t="str">
        <f t="shared" si="5"/>
        <v>Yes</v>
      </c>
      <c r="BU6" s="45" t="str">
        <f t="shared" si="6"/>
        <v>Yes</v>
      </c>
      <c r="BV6" s="45" t="str">
        <f t="shared" si="7"/>
        <v>No</v>
      </c>
      <c r="BW6" s="55">
        <f t="shared" si="8"/>
        <v>79.014939981001177</v>
      </c>
      <c r="BX6" s="55">
        <v>73.323479072662195</v>
      </c>
      <c r="BY6" s="55">
        <v>73.0684790726622</v>
      </c>
      <c r="BZ6" s="55">
        <f>BX6-(0.0051*100/2)</f>
        <v>73.0684790726622</v>
      </c>
      <c r="CA6" s="45">
        <v>2000</v>
      </c>
      <c r="CB6" s="55">
        <f t="shared" si="9"/>
        <v>43.601083032490976</v>
      </c>
      <c r="CC6" s="46" t="s">
        <v>178</v>
      </c>
      <c r="CD6" s="46" t="s">
        <v>179</v>
      </c>
      <c r="CE6" s="46" t="s">
        <v>179</v>
      </c>
      <c r="CF6" s="46">
        <v>1</v>
      </c>
      <c r="CG6" s="46" t="str">
        <f t="shared" si="10"/>
        <v>No</v>
      </c>
      <c r="CH6" s="46" t="s">
        <v>29</v>
      </c>
      <c r="CI6" s="56">
        <v>25</v>
      </c>
      <c r="CJ6" s="46">
        <v>20</v>
      </c>
      <c r="CK6" s="46" t="s">
        <v>23</v>
      </c>
      <c r="CL6" s="49" t="s">
        <v>29</v>
      </c>
      <c r="CM6" s="50">
        <v>0</v>
      </c>
      <c r="CN6" s="50"/>
      <c r="CO6" s="50"/>
      <c r="CP6" s="46" t="s">
        <v>23</v>
      </c>
      <c r="CQ6" s="46" t="s">
        <v>24</v>
      </c>
      <c r="CR6" s="46">
        <v>5</v>
      </c>
      <c r="CS6" s="46" t="s">
        <v>854</v>
      </c>
      <c r="CT6" s="46" t="s">
        <v>25</v>
      </c>
      <c r="CU6" s="46" t="s">
        <v>29</v>
      </c>
      <c r="CV6" s="46" t="s">
        <v>23</v>
      </c>
      <c r="CW6" s="46" t="s">
        <v>23</v>
      </c>
      <c r="CX6" s="49" t="s">
        <v>743</v>
      </c>
      <c r="CY6" s="49" t="s">
        <v>51</v>
      </c>
      <c r="CZ6" s="49">
        <v>0</v>
      </c>
      <c r="DA6" s="49">
        <v>1</v>
      </c>
      <c r="DB6" s="64">
        <v>49860</v>
      </c>
      <c r="DC6" s="58">
        <v>61.68</v>
      </c>
      <c r="DD6" s="58">
        <v>5.33</v>
      </c>
      <c r="DE6" s="58">
        <v>7.42</v>
      </c>
      <c r="DF6" s="58">
        <v>20.190000000000001</v>
      </c>
      <c r="DG6" s="58">
        <v>5.3799999999999955</v>
      </c>
      <c r="DH6" s="58">
        <v>38.32</v>
      </c>
      <c r="DI6" s="45" t="s">
        <v>29</v>
      </c>
      <c r="DJ6" s="59" t="str">
        <f t="shared" si="11"/>
        <v>N/A</v>
      </c>
      <c r="DK6" s="65">
        <v>49860</v>
      </c>
      <c r="DL6" s="58">
        <v>61.68</v>
      </c>
      <c r="DM6" s="58">
        <v>5.33</v>
      </c>
      <c r="DN6" s="58">
        <v>7.42</v>
      </c>
      <c r="DO6" s="58">
        <v>38.32</v>
      </c>
      <c r="DP6" s="61">
        <v>52</v>
      </c>
      <c r="DQ6" s="62">
        <v>77379.13</v>
      </c>
      <c r="DR6" s="53">
        <v>8.1999999999999993</v>
      </c>
      <c r="DS6" s="58">
        <v>74.7</v>
      </c>
      <c r="DT6" s="53">
        <v>47.9</v>
      </c>
      <c r="DU6" s="55">
        <v>2.35</v>
      </c>
      <c r="DV6" s="102">
        <v>38.299999999999997</v>
      </c>
      <c r="DW6" s="53">
        <v>88.4</v>
      </c>
      <c r="DX6" s="53">
        <v>75.099400000000003</v>
      </c>
      <c r="DY6" s="53">
        <v>36.523699999999998</v>
      </c>
      <c r="DZ6" s="63"/>
    </row>
    <row r="7" spans="1:130" s="5" customFormat="1" ht="14.25" hidden="1" customHeight="1">
      <c r="A7" s="45">
        <v>1016</v>
      </c>
      <c r="B7" s="46" t="s">
        <v>20</v>
      </c>
      <c r="C7" s="47">
        <v>2002</v>
      </c>
      <c r="D7" s="47" t="s">
        <v>21</v>
      </c>
      <c r="E7" s="46" t="s">
        <v>22</v>
      </c>
      <c r="F7" s="46">
        <v>4</v>
      </c>
      <c r="G7" s="48">
        <v>1200</v>
      </c>
      <c r="H7" s="46" t="s">
        <v>557</v>
      </c>
      <c r="I7" s="46">
        <v>2</v>
      </c>
      <c r="J7" s="46">
        <v>8</v>
      </c>
      <c r="K7" s="49" t="s">
        <v>33</v>
      </c>
      <c r="L7" s="49" t="s">
        <v>30</v>
      </c>
      <c r="M7" s="49" t="s">
        <v>29</v>
      </c>
      <c r="N7" s="49" t="s">
        <v>512</v>
      </c>
      <c r="O7" s="49"/>
      <c r="P7" s="49" t="s">
        <v>31</v>
      </c>
      <c r="Q7" s="49" t="s">
        <v>29</v>
      </c>
      <c r="R7" s="49">
        <v>3</v>
      </c>
      <c r="S7" s="50">
        <f t="shared" si="0"/>
        <v>37.5</v>
      </c>
      <c r="T7" s="49">
        <v>1</v>
      </c>
      <c r="U7" s="50">
        <f t="shared" si="1"/>
        <v>12.5</v>
      </c>
      <c r="V7" s="49" t="s">
        <v>173</v>
      </c>
      <c r="W7" s="49">
        <v>0</v>
      </c>
      <c r="X7" s="50">
        <f t="shared" si="2"/>
        <v>0</v>
      </c>
      <c r="Y7" s="51" t="str">
        <f t="shared" si="3"/>
        <v>No</v>
      </c>
      <c r="Z7" s="45" t="s">
        <v>35</v>
      </c>
      <c r="AA7" s="49" t="s">
        <v>23</v>
      </c>
      <c r="AB7" s="49" t="s">
        <v>23</v>
      </c>
      <c r="AC7" s="46" t="s">
        <v>26</v>
      </c>
      <c r="AD7" s="46" t="s">
        <v>27</v>
      </c>
      <c r="AE7" s="46" t="s">
        <v>73</v>
      </c>
      <c r="AF7" s="46" t="s">
        <v>29</v>
      </c>
      <c r="AG7" s="103"/>
      <c r="AH7" s="52">
        <v>35096</v>
      </c>
      <c r="AI7" s="52">
        <v>35096</v>
      </c>
      <c r="AJ7" s="102">
        <v>17.28</v>
      </c>
      <c r="AK7" s="104">
        <v>51.84</v>
      </c>
      <c r="AL7" s="102">
        <v>17.28</v>
      </c>
      <c r="AM7" s="102"/>
      <c r="AN7" s="53">
        <f t="shared" si="4"/>
        <v>51.84</v>
      </c>
      <c r="AO7" s="53">
        <v>13.39</v>
      </c>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50"/>
      <c r="BP7" s="50"/>
      <c r="BQ7" s="50"/>
      <c r="BR7" s="102"/>
      <c r="BS7" s="54" t="s">
        <v>23</v>
      </c>
      <c r="BT7" s="45" t="str">
        <f t="shared" si="5"/>
        <v>Yes</v>
      </c>
      <c r="BU7" s="45" t="str">
        <f t="shared" si="6"/>
        <v>Yes</v>
      </c>
      <c r="BV7" s="45" t="str">
        <f t="shared" si="7"/>
        <v>No</v>
      </c>
      <c r="BW7" s="55">
        <f t="shared" si="8"/>
        <v>79.014939981001177</v>
      </c>
      <c r="BX7" s="55">
        <v>73.323479072662195</v>
      </c>
      <c r="BY7" s="55">
        <v>73.0684790726622</v>
      </c>
      <c r="BZ7" s="55">
        <f>BX7-(0.0051*100/2)</f>
        <v>73.0684790726622</v>
      </c>
      <c r="CA7" s="45">
        <v>2000</v>
      </c>
      <c r="CB7" s="55">
        <f t="shared" si="9"/>
        <v>35.194544725230649</v>
      </c>
      <c r="CC7" s="46" t="s">
        <v>178</v>
      </c>
      <c r="CD7" s="46" t="s">
        <v>179</v>
      </c>
      <c r="CE7" s="46" t="s">
        <v>179</v>
      </c>
      <c r="CF7" s="46">
        <v>1</v>
      </c>
      <c r="CG7" s="46" t="str">
        <f t="shared" si="10"/>
        <v>No</v>
      </c>
      <c r="CH7" s="46" t="s">
        <v>29</v>
      </c>
      <c r="CI7" s="56">
        <v>25</v>
      </c>
      <c r="CJ7" s="46">
        <v>20</v>
      </c>
      <c r="CK7" s="46" t="s">
        <v>23</v>
      </c>
      <c r="CL7" s="49" t="s">
        <v>29</v>
      </c>
      <c r="CM7" s="50">
        <v>0</v>
      </c>
      <c r="CN7" s="50"/>
      <c r="CO7" s="50"/>
      <c r="CP7" s="46" t="s">
        <v>23</v>
      </c>
      <c r="CQ7" s="46" t="s">
        <v>24</v>
      </c>
      <c r="CR7" s="46">
        <v>5</v>
      </c>
      <c r="CS7" s="46" t="s">
        <v>854</v>
      </c>
      <c r="CT7" s="46" t="s">
        <v>25</v>
      </c>
      <c r="CU7" s="46" t="s">
        <v>29</v>
      </c>
      <c r="CV7" s="46" t="s">
        <v>23</v>
      </c>
      <c r="CW7" s="46" t="s">
        <v>23</v>
      </c>
      <c r="CX7" s="49" t="s">
        <v>743</v>
      </c>
      <c r="CY7" s="49" t="s">
        <v>36</v>
      </c>
      <c r="CZ7" s="49">
        <v>0</v>
      </c>
      <c r="DA7" s="49">
        <v>1</v>
      </c>
      <c r="DB7" s="64">
        <v>49860</v>
      </c>
      <c r="DC7" s="58">
        <v>61.68</v>
      </c>
      <c r="DD7" s="58">
        <v>5.33</v>
      </c>
      <c r="DE7" s="58">
        <v>7.42</v>
      </c>
      <c r="DF7" s="58">
        <v>20.190000000000001</v>
      </c>
      <c r="DG7" s="58">
        <v>5.3799999999999955</v>
      </c>
      <c r="DH7" s="58">
        <v>38.32</v>
      </c>
      <c r="DI7" s="45" t="s">
        <v>29</v>
      </c>
      <c r="DJ7" s="59" t="str">
        <f t="shared" si="11"/>
        <v>N/A</v>
      </c>
      <c r="DK7" s="65">
        <v>49860</v>
      </c>
      <c r="DL7" s="58">
        <v>61.68</v>
      </c>
      <c r="DM7" s="58">
        <v>5.33</v>
      </c>
      <c r="DN7" s="58">
        <v>7.42</v>
      </c>
      <c r="DO7" s="58">
        <v>38.32</v>
      </c>
      <c r="DP7" s="61">
        <v>52</v>
      </c>
      <c r="DQ7" s="62">
        <v>77379.13</v>
      </c>
      <c r="DR7" s="53">
        <v>8.1999999999999993</v>
      </c>
      <c r="DS7" s="58">
        <v>74.7</v>
      </c>
      <c r="DT7" s="53">
        <v>47.9</v>
      </c>
      <c r="DU7" s="55">
        <v>2.35</v>
      </c>
      <c r="DV7" s="102">
        <v>38.299999999999997</v>
      </c>
      <c r="DW7" s="53">
        <v>88.4</v>
      </c>
      <c r="DX7" s="53">
        <v>75.099400000000003</v>
      </c>
      <c r="DY7" s="53">
        <v>36.523699999999998</v>
      </c>
      <c r="DZ7" s="63"/>
    </row>
    <row r="8" spans="1:130" s="5" customFormat="1" ht="14.25" hidden="1" customHeight="1">
      <c r="A8" s="45">
        <v>1017</v>
      </c>
      <c r="B8" s="46" t="s">
        <v>20</v>
      </c>
      <c r="C8" s="47">
        <v>2002</v>
      </c>
      <c r="D8" s="47" t="s">
        <v>21</v>
      </c>
      <c r="E8" s="46" t="s">
        <v>22</v>
      </c>
      <c r="F8" s="46">
        <v>4</v>
      </c>
      <c r="G8" s="48">
        <v>1200</v>
      </c>
      <c r="H8" s="46" t="s">
        <v>557</v>
      </c>
      <c r="I8" s="46">
        <v>2</v>
      </c>
      <c r="J8" s="46">
        <v>8</v>
      </c>
      <c r="K8" s="49" t="s">
        <v>43</v>
      </c>
      <c r="L8" s="49" t="s">
        <v>30</v>
      </c>
      <c r="M8" s="49" t="s">
        <v>29</v>
      </c>
      <c r="N8" s="49" t="s">
        <v>513</v>
      </c>
      <c r="O8" s="49"/>
      <c r="P8" s="49" t="s">
        <v>34</v>
      </c>
      <c r="Q8" s="49" t="s">
        <v>35</v>
      </c>
      <c r="R8" s="49">
        <v>3</v>
      </c>
      <c r="S8" s="50">
        <f t="shared" si="0"/>
        <v>37.5</v>
      </c>
      <c r="T8" s="49">
        <v>1</v>
      </c>
      <c r="U8" s="50">
        <f t="shared" si="1"/>
        <v>12.5</v>
      </c>
      <c r="V8" s="49" t="s">
        <v>173</v>
      </c>
      <c r="W8" s="49">
        <v>0</v>
      </c>
      <c r="X8" s="50">
        <f t="shared" si="2"/>
        <v>0</v>
      </c>
      <c r="Y8" s="51" t="str">
        <f t="shared" si="3"/>
        <v>No</v>
      </c>
      <c r="Z8" s="45" t="s">
        <v>29</v>
      </c>
      <c r="AA8" s="49" t="s">
        <v>35</v>
      </c>
      <c r="AB8" s="49" t="s">
        <v>29</v>
      </c>
      <c r="AC8" s="46" t="s">
        <v>26</v>
      </c>
      <c r="AD8" s="46" t="s">
        <v>27</v>
      </c>
      <c r="AE8" s="46" t="s">
        <v>73</v>
      </c>
      <c r="AF8" s="46" t="s">
        <v>29</v>
      </c>
      <c r="AG8" s="103"/>
      <c r="AH8" s="52">
        <v>35096</v>
      </c>
      <c r="AI8" s="52">
        <v>35096</v>
      </c>
      <c r="AJ8" s="102">
        <v>27.63</v>
      </c>
      <c r="AK8" s="104">
        <v>82.89</v>
      </c>
      <c r="AL8" s="102">
        <v>27.63</v>
      </c>
      <c r="AM8" s="102"/>
      <c r="AN8" s="53">
        <f t="shared" si="4"/>
        <v>82.89</v>
      </c>
      <c r="AO8" s="53">
        <v>13.39</v>
      </c>
      <c r="AP8" s="102"/>
      <c r="AQ8" s="102"/>
      <c r="AR8" s="50"/>
      <c r="AS8" s="50"/>
      <c r="AT8" s="102"/>
      <c r="AU8" s="102"/>
      <c r="AV8" s="102"/>
      <c r="AW8" s="102"/>
      <c r="AX8" s="50"/>
      <c r="AY8" s="50"/>
      <c r="AZ8" s="102"/>
      <c r="BA8" s="102"/>
      <c r="BB8" s="102"/>
      <c r="BC8" s="102"/>
      <c r="BD8" s="50"/>
      <c r="BE8" s="50"/>
      <c r="BF8" s="50"/>
      <c r="BG8" s="50"/>
      <c r="BH8" s="102"/>
      <c r="BI8" s="102"/>
      <c r="BJ8" s="102"/>
      <c r="BK8" s="102"/>
      <c r="BL8" s="102"/>
      <c r="BM8" s="102"/>
      <c r="BN8" s="102"/>
      <c r="BO8" s="50"/>
      <c r="BP8" s="50"/>
      <c r="BQ8" s="50"/>
      <c r="BR8" s="102"/>
      <c r="BS8" s="54" t="s">
        <v>23</v>
      </c>
      <c r="BT8" s="45" t="str">
        <f t="shared" si="5"/>
        <v>No</v>
      </c>
      <c r="BU8" s="45" t="str">
        <f t="shared" si="6"/>
        <v>No</v>
      </c>
      <c r="BV8" s="45" t="str">
        <f t="shared" si="7"/>
        <v>No</v>
      </c>
      <c r="BW8" s="55">
        <f t="shared" si="8"/>
        <v>79.014939981001177</v>
      </c>
      <c r="BX8" s="55">
        <v>73.323479072662195</v>
      </c>
      <c r="BY8" s="55">
        <v>73.0684790726622</v>
      </c>
      <c r="BZ8" s="55">
        <f>BX8-(0.0051*100/2)</f>
        <v>73.0684790726622</v>
      </c>
      <c r="CA8" s="45">
        <v>2000</v>
      </c>
      <c r="CB8" s="55">
        <f t="shared" si="9"/>
        <v>35.194544725230649</v>
      </c>
      <c r="CC8" s="46" t="s">
        <v>178</v>
      </c>
      <c r="CD8" s="46" t="s">
        <v>179</v>
      </c>
      <c r="CE8" s="46" t="s">
        <v>179</v>
      </c>
      <c r="CF8" s="46">
        <v>1</v>
      </c>
      <c r="CG8" s="46" t="str">
        <f t="shared" si="10"/>
        <v>No</v>
      </c>
      <c r="CH8" s="46" t="s">
        <v>29</v>
      </c>
      <c r="CI8" s="56">
        <v>25</v>
      </c>
      <c r="CJ8" s="46">
        <v>20</v>
      </c>
      <c r="CK8" s="46" t="s">
        <v>23</v>
      </c>
      <c r="CL8" s="49" t="s">
        <v>29</v>
      </c>
      <c r="CM8" s="50">
        <v>0</v>
      </c>
      <c r="CN8" s="50"/>
      <c r="CO8" s="50"/>
      <c r="CP8" s="46" t="s">
        <v>23</v>
      </c>
      <c r="CQ8" s="46" t="s">
        <v>24</v>
      </c>
      <c r="CR8" s="46">
        <v>5</v>
      </c>
      <c r="CS8" s="46" t="s">
        <v>854</v>
      </c>
      <c r="CT8" s="46" t="s">
        <v>25</v>
      </c>
      <c r="CU8" s="46" t="s">
        <v>29</v>
      </c>
      <c r="CV8" s="46" t="s">
        <v>23</v>
      </c>
      <c r="CW8" s="46" t="s">
        <v>23</v>
      </c>
      <c r="CX8" s="49" t="s">
        <v>743</v>
      </c>
      <c r="CY8" s="49" t="s">
        <v>36</v>
      </c>
      <c r="CZ8" s="49">
        <v>0</v>
      </c>
      <c r="DA8" s="49">
        <v>1</v>
      </c>
      <c r="DB8" s="64">
        <v>49860</v>
      </c>
      <c r="DC8" s="58">
        <v>61.68</v>
      </c>
      <c r="DD8" s="58">
        <v>5.33</v>
      </c>
      <c r="DE8" s="58">
        <v>7.42</v>
      </c>
      <c r="DF8" s="58">
        <v>20.190000000000001</v>
      </c>
      <c r="DG8" s="58">
        <v>5.3799999999999955</v>
      </c>
      <c r="DH8" s="58">
        <v>38.32</v>
      </c>
      <c r="DI8" s="45" t="s">
        <v>29</v>
      </c>
      <c r="DJ8" s="59" t="str">
        <f t="shared" si="11"/>
        <v>N/A</v>
      </c>
      <c r="DK8" s="65">
        <v>49860</v>
      </c>
      <c r="DL8" s="58">
        <v>61.68</v>
      </c>
      <c r="DM8" s="58">
        <v>5.33</v>
      </c>
      <c r="DN8" s="58">
        <v>7.42</v>
      </c>
      <c r="DO8" s="58">
        <v>38.32</v>
      </c>
      <c r="DP8" s="61">
        <v>52</v>
      </c>
      <c r="DQ8" s="62">
        <v>77379.13</v>
      </c>
      <c r="DR8" s="53">
        <v>8.1999999999999993</v>
      </c>
      <c r="DS8" s="58">
        <v>74.7</v>
      </c>
      <c r="DT8" s="53">
        <v>47.9</v>
      </c>
      <c r="DU8" s="55">
        <v>2.35</v>
      </c>
      <c r="DV8" s="102">
        <v>38.299999999999997</v>
      </c>
      <c r="DW8" s="53">
        <v>88.4</v>
      </c>
      <c r="DX8" s="53">
        <v>75.099400000000003</v>
      </c>
      <c r="DY8" s="53">
        <v>36.523699999999998</v>
      </c>
      <c r="DZ8" s="63"/>
    </row>
    <row r="9" spans="1:130" s="5" customFormat="1" ht="14.25" hidden="1" customHeight="1">
      <c r="A9" s="45">
        <v>1018</v>
      </c>
      <c r="B9" s="46" t="s">
        <v>20</v>
      </c>
      <c r="C9" s="47">
        <v>2002</v>
      </c>
      <c r="D9" s="47" t="s">
        <v>38</v>
      </c>
      <c r="E9" s="46" t="s">
        <v>22</v>
      </c>
      <c r="F9" s="46">
        <v>4</v>
      </c>
      <c r="G9" s="48">
        <v>4909</v>
      </c>
      <c r="H9" s="46" t="s">
        <v>557</v>
      </c>
      <c r="I9" s="46">
        <v>1</v>
      </c>
      <c r="J9" s="46">
        <v>4</v>
      </c>
      <c r="K9" s="49" t="s">
        <v>48</v>
      </c>
      <c r="L9" s="49" t="s">
        <v>40</v>
      </c>
      <c r="M9" s="49" t="s">
        <v>35</v>
      </c>
      <c r="N9" s="49" t="s">
        <v>512</v>
      </c>
      <c r="O9" s="49"/>
      <c r="P9" s="49" t="s">
        <v>31</v>
      </c>
      <c r="Q9" s="49" t="s">
        <v>29</v>
      </c>
      <c r="R9" s="49">
        <v>3</v>
      </c>
      <c r="S9" s="50">
        <f t="shared" si="0"/>
        <v>75</v>
      </c>
      <c r="T9" s="49">
        <v>0</v>
      </c>
      <c r="U9" s="50">
        <f t="shared" si="1"/>
        <v>0</v>
      </c>
      <c r="V9" s="45"/>
      <c r="W9" s="49">
        <v>0</v>
      </c>
      <c r="X9" s="50">
        <f t="shared" si="2"/>
        <v>0</v>
      </c>
      <c r="Y9" s="51" t="str">
        <f t="shared" si="3"/>
        <v>No</v>
      </c>
      <c r="Z9" s="45" t="s">
        <v>35</v>
      </c>
      <c r="AA9" s="49" t="s">
        <v>23</v>
      </c>
      <c r="AB9" s="49" t="s">
        <v>23</v>
      </c>
      <c r="AC9" s="46" t="s">
        <v>26</v>
      </c>
      <c r="AD9" s="46" t="s">
        <v>27</v>
      </c>
      <c r="AE9" s="46" t="s">
        <v>73</v>
      </c>
      <c r="AF9" s="46" t="s">
        <v>29</v>
      </c>
      <c r="AG9" s="103"/>
      <c r="AH9" s="52">
        <v>20469</v>
      </c>
      <c r="AI9" s="52">
        <v>20469</v>
      </c>
      <c r="AJ9" s="102">
        <v>47.96</v>
      </c>
      <c r="AK9" s="104">
        <v>95.92</v>
      </c>
      <c r="AL9" s="102">
        <v>47.96</v>
      </c>
      <c r="AM9" s="102"/>
      <c r="AN9" s="53">
        <f t="shared" si="4"/>
        <v>95.92</v>
      </c>
      <c r="AO9" s="53">
        <v>26.71</v>
      </c>
      <c r="AP9" s="102"/>
      <c r="AQ9" s="102"/>
      <c r="AR9" s="50"/>
      <c r="AS9" s="50"/>
      <c r="AT9" s="102"/>
      <c r="AU9" s="102"/>
      <c r="AV9" s="102"/>
      <c r="AW9" s="102"/>
      <c r="AX9" s="50"/>
      <c r="AY9" s="50"/>
      <c r="AZ9" s="102"/>
      <c r="BA9" s="102"/>
      <c r="BB9" s="102"/>
      <c r="BC9" s="102"/>
      <c r="BD9" s="50"/>
      <c r="BE9" s="50"/>
      <c r="BF9" s="50"/>
      <c r="BG9" s="50"/>
      <c r="BH9" s="102"/>
      <c r="BI9" s="102"/>
      <c r="BJ9" s="102"/>
      <c r="BK9" s="102"/>
      <c r="BL9" s="102"/>
      <c r="BM9" s="102"/>
      <c r="BN9" s="102"/>
      <c r="BO9" s="50"/>
      <c r="BP9" s="50"/>
      <c r="BQ9" s="50"/>
      <c r="BR9" s="102"/>
      <c r="BS9" s="54" t="s">
        <v>23</v>
      </c>
      <c r="BT9" s="45" t="str">
        <f t="shared" si="5"/>
        <v>Yes</v>
      </c>
      <c r="BU9" s="45" t="str">
        <f t="shared" si="6"/>
        <v>No</v>
      </c>
      <c r="BV9" s="45" t="str">
        <f t="shared" si="7"/>
        <v>No</v>
      </c>
      <c r="BW9" s="55">
        <f t="shared" si="8"/>
        <v>79.014939981001177</v>
      </c>
      <c r="BX9" s="55">
        <v>73.323479072662195</v>
      </c>
      <c r="BY9" s="55">
        <v>73.0684790726622</v>
      </c>
      <c r="BZ9" s="55">
        <f>BX9-(0.0051*100/2)</f>
        <v>73.0684790726622</v>
      </c>
      <c r="CA9" s="45">
        <v>2000</v>
      </c>
      <c r="CB9" s="55">
        <f t="shared" si="9"/>
        <v>41.052948255114316</v>
      </c>
      <c r="CC9" s="46" t="s">
        <v>39</v>
      </c>
      <c r="CD9" s="46" t="s">
        <v>179</v>
      </c>
      <c r="CE9" s="46" t="s">
        <v>179</v>
      </c>
      <c r="CF9" s="46">
        <v>1</v>
      </c>
      <c r="CG9" s="46" t="str">
        <f t="shared" si="10"/>
        <v>No</v>
      </c>
      <c r="CH9" s="46" t="s">
        <v>29</v>
      </c>
      <c r="CI9" s="56">
        <v>25</v>
      </c>
      <c r="CJ9" s="46">
        <v>20</v>
      </c>
      <c r="CK9" s="46" t="s">
        <v>23</v>
      </c>
      <c r="CL9" s="49" t="s">
        <v>29</v>
      </c>
      <c r="CM9" s="50">
        <v>0</v>
      </c>
      <c r="CN9" s="50">
        <v>104894.07720000001</v>
      </c>
      <c r="CO9" s="50" t="s">
        <v>29</v>
      </c>
      <c r="CP9" s="46" t="s">
        <v>23</v>
      </c>
      <c r="CQ9" s="46" t="s">
        <v>23</v>
      </c>
      <c r="CR9" s="46">
        <v>5</v>
      </c>
      <c r="CS9" s="46" t="s">
        <v>854</v>
      </c>
      <c r="CT9" s="46" t="s">
        <v>25</v>
      </c>
      <c r="CU9" s="46" t="s">
        <v>29</v>
      </c>
      <c r="CV9" s="46" t="s">
        <v>23</v>
      </c>
      <c r="CW9" s="46" t="s">
        <v>23</v>
      </c>
      <c r="CX9" s="49" t="s">
        <v>743</v>
      </c>
      <c r="CY9" s="49" t="s">
        <v>36</v>
      </c>
      <c r="CZ9" s="49">
        <v>0</v>
      </c>
      <c r="DA9" s="49">
        <v>1</v>
      </c>
      <c r="DB9" s="64">
        <v>49860</v>
      </c>
      <c r="DC9" s="58">
        <v>61.68</v>
      </c>
      <c r="DD9" s="58">
        <v>5.33</v>
      </c>
      <c r="DE9" s="58">
        <v>7.42</v>
      </c>
      <c r="DF9" s="58">
        <v>20.190000000000001</v>
      </c>
      <c r="DG9" s="58">
        <v>5.3799999999999955</v>
      </c>
      <c r="DH9" s="58">
        <v>38.32</v>
      </c>
      <c r="DI9" s="45" t="s">
        <v>29</v>
      </c>
      <c r="DJ9" s="59" t="str">
        <f t="shared" si="11"/>
        <v>N/A</v>
      </c>
      <c r="DK9" s="65">
        <v>49860</v>
      </c>
      <c r="DL9" s="58">
        <v>61.68</v>
      </c>
      <c r="DM9" s="58">
        <v>5.33</v>
      </c>
      <c r="DN9" s="58">
        <v>7.42</v>
      </c>
      <c r="DO9" s="58">
        <v>38.32</v>
      </c>
      <c r="DP9" s="61">
        <v>52</v>
      </c>
      <c r="DQ9" s="62">
        <v>77379.13</v>
      </c>
      <c r="DR9" s="53">
        <v>8.1999999999999993</v>
      </c>
      <c r="DS9" s="58">
        <v>74.7</v>
      </c>
      <c r="DT9" s="53">
        <v>47.9</v>
      </c>
      <c r="DU9" s="55">
        <v>2.35</v>
      </c>
      <c r="DV9" s="102">
        <v>38.299999999999997</v>
      </c>
      <c r="DW9" s="53">
        <v>88.4</v>
      </c>
      <c r="DX9" s="53">
        <v>75.099400000000003</v>
      </c>
      <c r="DY9" s="53">
        <v>36.523699999999998</v>
      </c>
      <c r="DZ9" s="63"/>
    </row>
    <row r="10" spans="1:130" s="5" customFormat="1" ht="14.25" hidden="1" customHeight="1">
      <c r="A10" s="45">
        <v>1014</v>
      </c>
      <c r="B10" s="46" t="s">
        <v>20</v>
      </c>
      <c r="C10" s="47">
        <v>2004</v>
      </c>
      <c r="D10" s="47" t="s">
        <v>21</v>
      </c>
      <c r="E10" s="46" t="s">
        <v>22</v>
      </c>
      <c r="F10" s="46">
        <v>4</v>
      </c>
      <c r="G10" s="48">
        <v>1200</v>
      </c>
      <c r="H10" s="46" t="s">
        <v>557</v>
      </c>
      <c r="I10" s="46">
        <v>2</v>
      </c>
      <c r="J10" s="46">
        <v>7</v>
      </c>
      <c r="K10" s="49" t="s">
        <v>47</v>
      </c>
      <c r="L10" s="49" t="s">
        <v>30</v>
      </c>
      <c r="M10" s="49" t="s">
        <v>29</v>
      </c>
      <c r="N10" s="49" t="s">
        <v>512</v>
      </c>
      <c r="O10" s="49"/>
      <c r="P10" s="49" t="s">
        <v>31</v>
      </c>
      <c r="Q10" s="49" t="s">
        <v>29</v>
      </c>
      <c r="R10" s="49">
        <v>4</v>
      </c>
      <c r="S10" s="50">
        <f t="shared" si="0"/>
        <v>57.142857142857139</v>
      </c>
      <c r="T10" s="49">
        <v>2</v>
      </c>
      <c r="U10" s="50">
        <f t="shared" si="1"/>
        <v>28.571428571428569</v>
      </c>
      <c r="V10" s="49" t="s">
        <v>891</v>
      </c>
      <c r="W10" s="49">
        <v>1</v>
      </c>
      <c r="X10" s="50">
        <f t="shared" si="2"/>
        <v>14.285714285714285</v>
      </c>
      <c r="Y10" s="51" t="str">
        <f t="shared" si="3"/>
        <v>No</v>
      </c>
      <c r="Z10" s="49" t="s">
        <v>35</v>
      </c>
      <c r="AA10" s="49" t="s">
        <v>23</v>
      </c>
      <c r="AB10" s="49" t="s">
        <v>23</v>
      </c>
      <c r="AC10" s="46" t="s">
        <v>26</v>
      </c>
      <c r="AD10" s="46" t="s">
        <v>27</v>
      </c>
      <c r="AE10" s="46" t="s">
        <v>155</v>
      </c>
      <c r="AF10" s="46" t="s">
        <v>29</v>
      </c>
      <c r="AG10" s="103"/>
      <c r="AH10" s="52">
        <v>49075</v>
      </c>
      <c r="AI10" s="52">
        <v>49075</v>
      </c>
      <c r="AJ10" s="102">
        <v>18.78</v>
      </c>
      <c r="AK10" s="104">
        <v>56.34</v>
      </c>
      <c r="AL10" s="102">
        <v>18.78</v>
      </c>
      <c r="AM10" s="102"/>
      <c r="AN10" s="53">
        <f t="shared" si="4"/>
        <v>56.34</v>
      </c>
      <c r="AO10" s="53">
        <v>18.18</v>
      </c>
      <c r="AP10" s="102"/>
      <c r="AQ10" s="102"/>
      <c r="AR10" s="50"/>
      <c r="AS10" s="50"/>
      <c r="AT10" s="102"/>
      <c r="AU10" s="102"/>
      <c r="AV10" s="102"/>
      <c r="AW10" s="102"/>
      <c r="AX10" s="50"/>
      <c r="AY10" s="50"/>
      <c r="AZ10" s="102"/>
      <c r="BA10" s="102"/>
      <c r="BB10" s="102"/>
      <c r="BC10" s="102"/>
      <c r="BD10" s="50"/>
      <c r="BE10" s="50"/>
      <c r="BF10" s="50"/>
      <c r="BG10" s="50"/>
      <c r="BH10" s="102"/>
      <c r="BI10" s="102"/>
      <c r="BJ10" s="102"/>
      <c r="BK10" s="102"/>
      <c r="BL10" s="102"/>
      <c r="BM10" s="102"/>
      <c r="BN10" s="102"/>
      <c r="BO10" s="50"/>
      <c r="BP10" s="50"/>
      <c r="BQ10" s="50"/>
      <c r="BR10" s="102"/>
      <c r="BS10" s="54" t="s">
        <v>23</v>
      </c>
      <c r="BT10" s="45" t="str">
        <f t="shared" si="5"/>
        <v>Yes</v>
      </c>
      <c r="BU10" s="45" t="str">
        <f t="shared" si="6"/>
        <v>Yes</v>
      </c>
      <c r="BV10" s="45" t="str">
        <f t="shared" si="7"/>
        <v>Yes</v>
      </c>
      <c r="BW10" s="55">
        <f t="shared" si="8"/>
        <v>79.014939981001177</v>
      </c>
      <c r="BX10" s="55">
        <v>76.602095705979295</v>
      </c>
      <c r="BY10" s="55">
        <v>77.832095705979285</v>
      </c>
      <c r="BZ10" s="55">
        <f>BX10-(-0.0246*100/2)</f>
        <v>77.832095705979299</v>
      </c>
      <c r="CA10" s="45">
        <v>2004</v>
      </c>
      <c r="CB10" s="55">
        <f t="shared" si="9"/>
        <v>49.212795828319294</v>
      </c>
      <c r="CC10" s="46" t="s">
        <v>178</v>
      </c>
      <c r="CD10" s="46" t="s">
        <v>179</v>
      </c>
      <c r="CE10" s="46" t="s">
        <v>179</v>
      </c>
      <c r="CF10" s="46">
        <v>1</v>
      </c>
      <c r="CG10" s="46" t="str">
        <f t="shared" si="10"/>
        <v>No</v>
      </c>
      <c r="CH10" s="46" t="s">
        <v>29</v>
      </c>
      <c r="CI10" s="56">
        <v>25</v>
      </c>
      <c r="CJ10" s="46">
        <v>20</v>
      </c>
      <c r="CK10" s="46" t="s">
        <v>23</v>
      </c>
      <c r="CL10" s="49" t="s">
        <v>29</v>
      </c>
      <c r="CM10" s="50">
        <v>0</v>
      </c>
      <c r="CN10" s="50"/>
      <c r="CO10" s="50"/>
      <c r="CP10" s="46" t="s">
        <v>23</v>
      </c>
      <c r="CQ10" s="46" t="s">
        <v>24</v>
      </c>
      <c r="CR10" s="46">
        <v>5</v>
      </c>
      <c r="CS10" s="46" t="s">
        <v>854</v>
      </c>
      <c r="CT10" s="46" t="s">
        <v>25</v>
      </c>
      <c r="CU10" s="46" t="s">
        <v>29</v>
      </c>
      <c r="CV10" s="46" t="s">
        <v>23</v>
      </c>
      <c r="CW10" s="46" t="s">
        <v>23</v>
      </c>
      <c r="CX10" s="49" t="s">
        <v>743</v>
      </c>
      <c r="CY10" s="49" t="s">
        <v>36</v>
      </c>
      <c r="CZ10" s="49">
        <v>0</v>
      </c>
      <c r="DA10" s="49">
        <v>1</v>
      </c>
      <c r="DB10" s="64">
        <v>49860</v>
      </c>
      <c r="DC10" s="58">
        <v>61.68</v>
      </c>
      <c r="DD10" s="58">
        <v>5.33</v>
      </c>
      <c r="DE10" s="58">
        <v>7.42</v>
      </c>
      <c r="DF10" s="58">
        <v>20.190000000000001</v>
      </c>
      <c r="DG10" s="58">
        <v>5.3799999999999955</v>
      </c>
      <c r="DH10" s="58">
        <v>38.32</v>
      </c>
      <c r="DI10" s="45" t="s">
        <v>29</v>
      </c>
      <c r="DJ10" s="59" t="str">
        <f t="shared" si="11"/>
        <v>N/A</v>
      </c>
      <c r="DK10" s="65">
        <v>49860</v>
      </c>
      <c r="DL10" s="58">
        <v>61.68</v>
      </c>
      <c r="DM10" s="58">
        <v>5.33</v>
      </c>
      <c r="DN10" s="58">
        <v>7.42</v>
      </c>
      <c r="DO10" s="58">
        <v>38.32</v>
      </c>
      <c r="DP10" s="61">
        <v>52</v>
      </c>
      <c r="DQ10" s="62">
        <v>77379.13</v>
      </c>
      <c r="DR10" s="53">
        <v>8.1999999999999993</v>
      </c>
      <c r="DS10" s="58">
        <v>74.7</v>
      </c>
      <c r="DT10" s="53">
        <v>47.9</v>
      </c>
      <c r="DU10" s="55">
        <v>2.35</v>
      </c>
      <c r="DV10" s="102">
        <v>38.299999999999997</v>
      </c>
      <c r="DW10" s="53">
        <v>88.4</v>
      </c>
      <c r="DX10" s="53">
        <v>75.099400000000003</v>
      </c>
      <c r="DY10" s="53">
        <v>36.523699999999998</v>
      </c>
      <c r="DZ10" s="63"/>
    </row>
    <row r="11" spans="1:130" s="5" customFormat="1" ht="14.25" hidden="1" customHeight="1">
      <c r="A11" s="45">
        <v>1015</v>
      </c>
      <c r="B11" s="46" t="s">
        <v>20</v>
      </c>
      <c r="C11" s="47">
        <v>2004</v>
      </c>
      <c r="D11" s="47" t="s">
        <v>21</v>
      </c>
      <c r="E11" s="46" t="s">
        <v>22</v>
      </c>
      <c r="F11" s="46">
        <v>4</v>
      </c>
      <c r="G11" s="48">
        <v>1200</v>
      </c>
      <c r="H11" s="46" t="s">
        <v>557</v>
      </c>
      <c r="I11" s="46">
        <v>2</v>
      </c>
      <c r="J11" s="46">
        <v>7</v>
      </c>
      <c r="K11" s="49" t="s">
        <v>46</v>
      </c>
      <c r="L11" s="49" t="s">
        <v>40</v>
      </c>
      <c r="M11" s="49" t="s">
        <v>35</v>
      </c>
      <c r="N11" s="49" t="s">
        <v>512</v>
      </c>
      <c r="O11" s="49"/>
      <c r="P11" s="49" t="s">
        <v>201</v>
      </c>
      <c r="Q11" s="49" t="s">
        <v>35</v>
      </c>
      <c r="R11" s="49">
        <v>4</v>
      </c>
      <c r="S11" s="50">
        <f t="shared" si="0"/>
        <v>57.142857142857139</v>
      </c>
      <c r="T11" s="49">
        <v>2</v>
      </c>
      <c r="U11" s="50">
        <f t="shared" si="1"/>
        <v>28.571428571428569</v>
      </c>
      <c r="V11" s="49" t="s">
        <v>891</v>
      </c>
      <c r="W11" s="49">
        <v>1</v>
      </c>
      <c r="X11" s="50">
        <f t="shared" si="2"/>
        <v>14.285714285714285</v>
      </c>
      <c r="Y11" s="51" t="str">
        <f t="shared" si="3"/>
        <v>Yes</v>
      </c>
      <c r="Z11" s="49" t="s">
        <v>35</v>
      </c>
      <c r="AA11" s="49" t="s">
        <v>23</v>
      </c>
      <c r="AB11" s="49" t="s">
        <v>23</v>
      </c>
      <c r="AC11" s="46" t="s">
        <v>26</v>
      </c>
      <c r="AD11" s="46" t="s">
        <v>27</v>
      </c>
      <c r="AE11" s="46" t="s">
        <v>155</v>
      </c>
      <c r="AF11" s="46" t="s">
        <v>29</v>
      </c>
      <c r="AG11" s="103"/>
      <c r="AH11" s="52">
        <v>49075</v>
      </c>
      <c r="AI11" s="52">
        <v>49075</v>
      </c>
      <c r="AJ11" s="102">
        <v>23.11</v>
      </c>
      <c r="AK11" s="104">
        <v>69.33</v>
      </c>
      <c r="AL11" s="102">
        <v>23.11</v>
      </c>
      <c r="AM11" s="102"/>
      <c r="AN11" s="53">
        <f t="shared" si="4"/>
        <v>69.33</v>
      </c>
      <c r="AO11" s="53">
        <v>18.18</v>
      </c>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c r="BQ11" s="102"/>
      <c r="BR11" s="102"/>
      <c r="BS11" s="54" t="s">
        <v>23</v>
      </c>
      <c r="BT11" s="45" t="str">
        <f t="shared" si="5"/>
        <v>Yes</v>
      </c>
      <c r="BU11" s="45" t="str">
        <f t="shared" si="6"/>
        <v>Yes</v>
      </c>
      <c r="BV11" s="45" t="str">
        <f t="shared" si="7"/>
        <v>No</v>
      </c>
      <c r="BW11" s="55">
        <f t="shared" si="8"/>
        <v>79.014939981001177</v>
      </c>
      <c r="BX11" s="55">
        <v>76.602095705979295</v>
      </c>
      <c r="BY11" s="55">
        <v>77.832095705979285</v>
      </c>
      <c r="BZ11" s="55">
        <f>BX11-(-0.0246*100/2)</f>
        <v>77.832095705979299</v>
      </c>
      <c r="CA11" s="45">
        <v>2004</v>
      </c>
      <c r="CB11" s="55">
        <f t="shared" si="9"/>
        <v>49.212795828319294</v>
      </c>
      <c r="CC11" s="46" t="s">
        <v>178</v>
      </c>
      <c r="CD11" s="46" t="s">
        <v>179</v>
      </c>
      <c r="CE11" s="46" t="s">
        <v>179</v>
      </c>
      <c r="CF11" s="46">
        <v>1</v>
      </c>
      <c r="CG11" s="46" t="str">
        <f t="shared" si="10"/>
        <v>No</v>
      </c>
      <c r="CH11" s="46" t="s">
        <v>29</v>
      </c>
      <c r="CI11" s="56">
        <v>25</v>
      </c>
      <c r="CJ11" s="46">
        <v>20</v>
      </c>
      <c r="CK11" s="46" t="s">
        <v>23</v>
      </c>
      <c r="CL11" s="49" t="s">
        <v>29</v>
      </c>
      <c r="CM11" s="50">
        <v>0</v>
      </c>
      <c r="CN11" s="50"/>
      <c r="CO11" s="50"/>
      <c r="CP11" s="46" t="s">
        <v>23</v>
      </c>
      <c r="CQ11" s="46" t="s">
        <v>24</v>
      </c>
      <c r="CR11" s="46">
        <v>5</v>
      </c>
      <c r="CS11" s="46" t="s">
        <v>854</v>
      </c>
      <c r="CT11" s="46" t="s">
        <v>25</v>
      </c>
      <c r="CU11" s="46" t="s">
        <v>29</v>
      </c>
      <c r="CV11" s="46" t="s">
        <v>23</v>
      </c>
      <c r="CW11" s="46" t="s">
        <v>23</v>
      </c>
      <c r="CX11" s="49" t="s">
        <v>743</v>
      </c>
      <c r="CY11" s="49" t="s">
        <v>36</v>
      </c>
      <c r="CZ11" s="49">
        <v>0</v>
      </c>
      <c r="DA11" s="49">
        <v>1</v>
      </c>
      <c r="DB11" s="64">
        <v>49860</v>
      </c>
      <c r="DC11" s="58">
        <v>61.68</v>
      </c>
      <c r="DD11" s="58">
        <v>5.33</v>
      </c>
      <c r="DE11" s="58">
        <v>7.42</v>
      </c>
      <c r="DF11" s="58">
        <v>20.190000000000001</v>
      </c>
      <c r="DG11" s="58">
        <v>5.3799999999999955</v>
      </c>
      <c r="DH11" s="58">
        <v>38.32</v>
      </c>
      <c r="DI11" s="45" t="s">
        <v>29</v>
      </c>
      <c r="DJ11" s="59" t="str">
        <f t="shared" si="11"/>
        <v>N/A</v>
      </c>
      <c r="DK11" s="65">
        <v>49860</v>
      </c>
      <c r="DL11" s="58">
        <v>61.68</v>
      </c>
      <c r="DM11" s="58">
        <v>5.33</v>
      </c>
      <c r="DN11" s="58">
        <v>7.42</v>
      </c>
      <c r="DO11" s="58">
        <v>38.32</v>
      </c>
      <c r="DP11" s="61">
        <v>52</v>
      </c>
      <c r="DQ11" s="62">
        <v>77379.13</v>
      </c>
      <c r="DR11" s="53">
        <v>8.1999999999999993</v>
      </c>
      <c r="DS11" s="58">
        <v>74.7</v>
      </c>
      <c r="DT11" s="53">
        <v>47.9</v>
      </c>
      <c r="DU11" s="55">
        <v>2.35</v>
      </c>
      <c r="DV11" s="102">
        <v>38.299999999999997</v>
      </c>
      <c r="DW11" s="53">
        <v>88.4</v>
      </c>
      <c r="DX11" s="53">
        <v>75.099400000000003</v>
      </c>
      <c r="DY11" s="53">
        <v>36.523699999999998</v>
      </c>
      <c r="DZ11" s="63"/>
    </row>
    <row r="12" spans="1:130" s="5" customFormat="1" ht="14.25" hidden="1" customHeight="1">
      <c r="A12" s="45">
        <v>1011</v>
      </c>
      <c r="B12" s="46" t="s">
        <v>20</v>
      </c>
      <c r="C12" s="47">
        <v>2006</v>
      </c>
      <c r="D12" s="47" t="s">
        <v>21</v>
      </c>
      <c r="E12" s="46" t="s">
        <v>22</v>
      </c>
      <c r="F12" s="46">
        <v>4</v>
      </c>
      <c r="G12" s="48">
        <v>1200</v>
      </c>
      <c r="H12" s="46" t="s">
        <v>557</v>
      </c>
      <c r="I12" s="46">
        <v>2</v>
      </c>
      <c r="J12" s="46">
        <v>6</v>
      </c>
      <c r="K12" s="49" t="s">
        <v>33</v>
      </c>
      <c r="L12" s="49" t="s">
        <v>30</v>
      </c>
      <c r="M12" s="49" t="s">
        <v>29</v>
      </c>
      <c r="N12" s="49" t="s">
        <v>513</v>
      </c>
      <c r="O12" s="49"/>
      <c r="P12" s="49" t="s">
        <v>31</v>
      </c>
      <c r="Q12" s="49" t="s">
        <v>29</v>
      </c>
      <c r="R12" s="49">
        <v>3</v>
      </c>
      <c r="S12" s="50">
        <f t="shared" si="0"/>
        <v>50</v>
      </c>
      <c r="T12" s="49">
        <v>1</v>
      </c>
      <c r="U12" s="50">
        <f t="shared" si="1"/>
        <v>16.666666666666664</v>
      </c>
      <c r="V12" s="49" t="s">
        <v>173</v>
      </c>
      <c r="W12" s="49">
        <v>1</v>
      </c>
      <c r="X12" s="50">
        <f t="shared" si="2"/>
        <v>16.666666666666664</v>
      </c>
      <c r="Y12" s="51" t="str">
        <f t="shared" si="3"/>
        <v>No</v>
      </c>
      <c r="Z12" s="49" t="s">
        <v>29</v>
      </c>
      <c r="AA12" s="49" t="s">
        <v>29</v>
      </c>
      <c r="AB12" s="49" t="s">
        <v>29</v>
      </c>
      <c r="AC12" s="46" t="s">
        <v>26</v>
      </c>
      <c r="AD12" s="46" t="s">
        <v>27</v>
      </c>
      <c r="AE12" s="46" t="s">
        <v>73</v>
      </c>
      <c r="AF12" s="46" t="s">
        <v>29</v>
      </c>
      <c r="AG12" s="103"/>
      <c r="AH12" s="52">
        <v>39083</v>
      </c>
      <c r="AI12" s="52">
        <v>39083</v>
      </c>
      <c r="AJ12" s="102">
        <v>24.42</v>
      </c>
      <c r="AK12" s="104">
        <v>73.260000000000005</v>
      </c>
      <c r="AL12" s="102">
        <v>24.42</v>
      </c>
      <c r="AM12" s="102"/>
      <c r="AN12" s="53">
        <f t="shared" si="4"/>
        <v>73.260000000000005</v>
      </c>
      <c r="AO12" s="53">
        <v>15.68</v>
      </c>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c r="BP12" s="102"/>
      <c r="BQ12" s="102"/>
      <c r="BR12" s="102"/>
      <c r="BS12" s="54" t="s">
        <v>23</v>
      </c>
      <c r="BT12" s="45" t="str">
        <f t="shared" si="5"/>
        <v>Yes</v>
      </c>
      <c r="BU12" s="45" t="str">
        <f t="shared" si="6"/>
        <v>No</v>
      </c>
      <c r="BV12" s="45" t="str">
        <f t="shared" si="7"/>
        <v>No</v>
      </c>
      <c r="BW12" s="55">
        <f t="shared" si="8"/>
        <v>79.014939981001177</v>
      </c>
      <c r="BX12" s="55">
        <v>76.602095705979295</v>
      </c>
      <c r="BY12" s="55">
        <v>77.832095705979285</v>
      </c>
      <c r="BZ12" s="55">
        <f>BX12-(-0.0246*100/2)</f>
        <v>77.832095705979299</v>
      </c>
      <c r="CA12" s="45">
        <v>2004</v>
      </c>
      <c r="CB12" s="55">
        <f t="shared" si="9"/>
        <v>39.953997137599671</v>
      </c>
      <c r="CC12" s="46" t="s">
        <v>178</v>
      </c>
      <c r="CD12" s="46" t="s">
        <v>179</v>
      </c>
      <c r="CE12" s="46" t="s">
        <v>179</v>
      </c>
      <c r="CF12" s="46">
        <v>1</v>
      </c>
      <c r="CG12" s="46" t="str">
        <f t="shared" si="10"/>
        <v>No</v>
      </c>
      <c r="CH12" s="46" t="s">
        <v>29</v>
      </c>
      <c r="CI12" s="56">
        <v>25</v>
      </c>
      <c r="CJ12" s="46">
        <v>20</v>
      </c>
      <c r="CK12" s="46" t="s">
        <v>23</v>
      </c>
      <c r="CL12" s="49" t="s">
        <v>29</v>
      </c>
      <c r="CM12" s="50">
        <v>0</v>
      </c>
      <c r="CN12" s="50"/>
      <c r="CO12" s="50"/>
      <c r="CP12" s="46" t="s">
        <v>23</v>
      </c>
      <c r="CQ12" s="46" t="s">
        <v>24</v>
      </c>
      <c r="CR12" s="46">
        <v>5</v>
      </c>
      <c r="CS12" s="46" t="s">
        <v>854</v>
      </c>
      <c r="CT12" s="46" t="s">
        <v>25</v>
      </c>
      <c r="CU12" s="46" t="s">
        <v>29</v>
      </c>
      <c r="CV12" s="46" t="s">
        <v>23</v>
      </c>
      <c r="CW12" s="46" t="s">
        <v>23</v>
      </c>
      <c r="CX12" s="49" t="s">
        <v>744</v>
      </c>
      <c r="CY12" s="49" t="s">
        <v>36</v>
      </c>
      <c r="CZ12" s="49">
        <v>0</v>
      </c>
      <c r="DA12" s="49">
        <v>1</v>
      </c>
      <c r="DB12" s="64">
        <v>48910</v>
      </c>
      <c r="DC12" s="58">
        <v>56.269999999999996</v>
      </c>
      <c r="DD12" s="58">
        <v>4.95</v>
      </c>
      <c r="DE12" s="58">
        <v>9.49</v>
      </c>
      <c r="DF12" s="58">
        <v>25.629999999999995</v>
      </c>
      <c r="DG12" s="58">
        <v>3.6600000000000077</v>
      </c>
      <c r="DH12" s="58">
        <v>43.730000000000004</v>
      </c>
      <c r="DI12" s="45" t="s">
        <v>29</v>
      </c>
      <c r="DJ12" s="59" t="str">
        <f t="shared" si="11"/>
        <v>N/A</v>
      </c>
      <c r="DK12" s="65">
        <v>48910</v>
      </c>
      <c r="DL12" s="58">
        <v>56.269999999999996</v>
      </c>
      <c r="DM12" s="58">
        <v>4.95</v>
      </c>
      <c r="DN12" s="58">
        <v>9.49</v>
      </c>
      <c r="DO12" s="58">
        <v>43.730000000000004</v>
      </c>
      <c r="DP12" s="61">
        <v>53.5</v>
      </c>
      <c r="DQ12" s="62">
        <v>81108.649999999994</v>
      </c>
      <c r="DR12" s="53">
        <v>9.5</v>
      </c>
      <c r="DS12" s="58">
        <v>75.7</v>
      </c>
      <c r="DT12" s="53">
        <v>48.1</v>
      </c>
      <c r="DU12" s="55">
        <v>2.4900000000000002</v>
      </c>
      <c r="DV12" s="102">
        <v>40.1</v>
      </c>
      <c r="DW12" s="53">
        <v>91.1</v>
      </c>
      <c r="DX12" s="53">
        <v>78.989999999999995</v>
      </c>
      <c r="DY12" s="53">
        <v>40.444000000000003</v>
      </c>
      <c r="DZ12" s="63"/>
    </row>
    <row r="13" spans="1:130" s="5" customFormat="1" ht="14.25" hidden="1" customHeight="1">
      <c r="A13" s="45">
        <v>1012</v>
      </c>
      <c r="B13" s="46" t="s">
        <v>20</v>
      </c>
      <c r="C13" s="47">
        <v>2006</v>
      </c>
      <c r="D13" s="47" t="s">
        <v>21</v>
      </c>
      <c r="E13" s="46" t="s">
        <v>22</v>
      </c>
      <c r="F13" s="46">
        <v>4</v>
      </c>
      <c r="G13" s="48">
        <v>1200</v>
      </c>
      <c r="H13" s="46" t="s">
        <v>557</v>
      </c>
      <c r="I13" s="46">
        <v>2</v>
      </c>
      <c r="J13" s="46">
        <v>6</v>
      </c>
      <c r="K13" s="49" t="s">
        <v>44</v>
      </c>
      <c r="L13" s="49" t="s">
        <v>40</v>
      </c>
      <c r="M13" s="49" t="s">
        <v>35</v>
      </c>
      <c r="N13" s="49" t="s">
        <v>512</v>
      </c>
      <c r="O13" s="49"/>
      <c r="P13" s="49" t="s">
        <v>34</v>
      </c>
      <c r="Q13" s="49" t="s">
        <v>35</v>
      </c>
      <c r="R13" s="49">
        <v>3</v>
      </c>
      <c r="S13" s="50">
        <f t="shared" si="0"/>
        <v>50</v>
      </c>
      <c r="T13" s="49">
        <v>1</v>
      </c>
      <c r="U13" s="50">
        <f t="shared" si="1"/>
        <v>16.666666666666664</v>
      </c>
      <c r="V13" s="49" t="s">
        <v>173</v>
      </c>
      <c r="W13" s="49">
        <v>1</v>
      </c>
      <c r="X13" s="50">
        <f t="shared" si="2"/>
        <v>16.666666666666664</v>
      </c>
      <c r="Y13" s="51" t="str">
        <f t="shared" si="3"/>
        <v>Yes</v>
      </c>
      <c r="Z13" s="49" t="s">
        <v>35</v>
      </c>
      <c r="AA13" s="49" t="s">
        <v>23</v>
      </c>
      <c r="AB13" s="49" t="s">
        <v>23</v>
      </c>
      <c r="AC13" s="46" t="s">
        <v>26</v>
      </c>
      <c r="AD13" s="46" t="s">
        <v>27</v>
      </c>
      <c r="AE13" s="46" t="s">
        <v>73</v>
      </c>
      <c r="AF13" s="46" t="s">
        <v>29</v>
      </c>
      <c r="AG13" s="103"/>
      <c r="AH13" s="52">
        <v>39083</v>
      </c>
      <c r="AI13" s="52">
        <v>39083</v>
      </c>
      <c r="AJ13" s="102">
        <v>28.88</v>
      </c>
      <c r="AK13" s="104">
        <v>86.64</v>
      </c>
      <c r="AL13" s="102">
        <v>28.88</v>
      </c>
      <c r="AM13" s="102"/>
      <c r="AN13" s="53">
        <f t="shared" si="4"/>
        <v>86.64</v>
      </c>
      <c r="AO13" s="53">
        <v>15.68</v>
      </c>
      <c r="AP13" s="102"/>
      <c r="AQ13" s="102"/>
      <c r="AR13" s="102"/>
      <c r="AS13" s="102"/>
      <c r="AT13" s="102"/>
      <c r="AU13" s="102"/>
      <c r="AV13" s="102"/>
      <c r="AW13" s="102"/>
      <c r="AX13" s="102"/>
      <c r="AY13" s="102"/>
      <c r="AZ13" s="102"/>
      <c r="BA13" s="102"/>
      <c r="BB13" s="102"/>
      <c r="BC13" s="102"/>
      <c r="BD13" s="102"/>
      <c r="BE13" s="102"/>
      <c r="BF13" s="102"/>
      <c r="BG13" s="102"/>
      <c r="BH13" s="102"/>
      <c r="BI13" s="102"/>
      <c r="BJ13" s="102"/>
      <c r="BK13" s="102"/>
      <c r="BL13" s="102"/>
      <c r="BM13" s="102"/>
      <c r="BN13" s="102"/>
      <c r="BO13" s="102"/>
      <c r="BP13" s="102"/>
      <c r="BQ13" s="102"/>
      <c r="BR13" s="102"/>
      <c r="BS13" s="54" t="s">
        <v>23</v>
      </c>
      <c r="BT13" s="45" t="str">
        <f t="shared" si="5"/>
        <v>Yes</v>
      </c>
      <c r="BU13" s="45" t="str">
        <f t="shared" si="6"/>
        <v>No</v>
      </c>
      <c r="BV13" s="45" t="str">
        <f t="shared" si="7"/>
        <v>No</v>
      </c>
      <c r="BW13" s="55">
        <f t="shared" si="8"/>
        <v>79.014939981001177</v>
      </c>
      <c r="BX13" s="55">
        <v>76.602095705979295</v>
      </c>
      <c r="BY13" s="55">
        <v>77.832095705979285</v>
      </c>
      <c r="BZ13" s="55">
        <f>BX13-(-0.0246*100/2)</f>
        <v>77.832095705979299</v>
      </c>
      <c r="CA13" s="45">
        <v>2004</v>
      </c>
      <c r="CB13" s="55">
        <f t="shared" si="9"/>
        <v>39.953997137599671</v>
      </c>
      <c r="CC13" s="46" t="s">
        <v>178</v>
      </c>
      <c r="CD13" s="46" t="s">
        <v>179</v>
      </c>
      <c r="CE13" s="46" t="s">
        <v>179</v>
      </c>
      <c r="CF13" s="46">
        <v>1</v>
      </c>
      <c r="CG13" s="46" t="str">
        <f t="shared" si="10"/>
        <v>No</v>
      </c>
      <c r="CH13" s="46" t="s">
        <v>29</v>
      </c>
      <c r="CI13" s="56">
        <v>25</v>
      </c>
      <c r="CJ13" s="46">
        <v>20</v>
      </c>
      <c r="CK13" s="46" t="s">
        <v>23</v>
      </c>
      <c r="CL13" s="49" t="s">
        <v>29</v>
      </c>
      <c r="CM13" s="50">
        <v>0</v>
      </c>
      <c r="CN13" s="50"/>
      <c r="CO13" s="50"/>
      <c r="CP13" s="46" t="s">
        <v>23</v>
      </c>
      <c r="CQ13" s="46" t="s">
        <v>24</v>
      </c>
      <c r="CR13" s="46">
        <v>5</v>
      </c>
      <c r="CS13" s="46" t="s">
        <v>854</v>
      </c>
      <c r="CT13" s="46" t="s">
        <v>25</v>
      </c>
      <c r="CU13" s="46" t="s">
        <v>29</v>
      </c>
      <c r="CV13" s="46" t="s">
        <v>23</v>
      </c>
      <c r="CW13" s="46" t="s">
        <v>23</v>
      </c>
      <c r="CX13" s="49" t="s">
        <v>744</v>
      </c>
      <c r="CY13" s="49" t="s">
        <v>36</v>
      </c>
      <c r="CZ13" s="49">
        <v>0</v>
      </c>
      <c r="DA13" s="49">
        <v>1</v>
      </c>
      <c r="DB13" s="64">
        <v>48910</v>
      </c>
      <c r="DC13" s="58">
        <v>56.269999999999996</v>
      </c>
      <c r="DD13" s="58">
        <v>4.95</v>
      </c>
      <c r="DE13" s="58">
        <v>9.49</v>
      </c>
      <c r="DF13" s="58">
        <v>25.629999999999995</v>
      </c>
      <c r="DG13" s="58">
        <v>3.6600000000000077</v>
      </c>
      <c r="DH13" s="58">
        <v>43.730000000000004</v>
      </c>
      <c r="DI13" s="45" t="s">
        <v>29</v>
      </c>
      <c r="DJ13" s="59" t="str">
        <f t="shared" si="11"/>
        <v>N/A</v>
      </c>
      <c r="DK13" s="65">
        <v>48910</v>
      </c>
      <c r="DL13" s="58">
        <v>56.269999999999996</v>
      </c>
      <c r="DM13" s="58">
        <v>4.95</v>
      </c>
      <c r="DN13" s="58">
        <v>9.49</v>
      </c>
      <c r="DO13" s="58">
        <v>43.730000000000004</v>
      </c>
      <c r="DP13" s="61">
        <v>53.5</v>
      </c>
      <c r="DQ13" s="62">
        <v>81108.649999999994</v>
      </c>
      <c r="DR13" s="53">
        <v>9.5</v>
      </c>
      <c r="DS13" s="58">
        <v>75.7</v>
      </c>
      <c r="DT13" s="53">
        <v>48.1</v>
      </c>
      <c r="DU13" s="55">
        <v>2.4900000000000002</v>
      </c>
      <c r="DV13" s="102">
        <v>40.1</v>
      </c>
      <c r="DW13" s="53">
        <v>91.1</v>
      </c>
      <c r="DX13" s="53">
        <v>78.989999999999995</v>
      </c>
      <c r="DY13" s="53">
        <v>40.444000000000003</v>
      </c>
      <c r="DZ13" s="63"/>
    </row>
    <row r="14" spans="1:130" s="5" customFormat="1" ht="14.25" hidden="1" customHeight="1">
      <c r="A14" s="45">
        <v>1013</v>
      </c>
      <c r="B14" s="46" t="s">
        <v>20</v>
      </c>
      <c r="C14" s="47">
        <v>2006</v>
      </c>
      <c r="D14" s="47" t="s">
        <v>38</v>
      </c>
      <c r="E14" s="46" t="s">
        <v>22</v>
      </c>
      <c r="F14" s="46">
        <v>4</v>
      </c>
      <c r="G14" s="48">
        <v>4909</v>
      </c>
      <c r="H14" s="46" t="s">
        <v>557</v>
      </c>
      <c r="I14" s="46">
        <v>1</v>
      </c>
      <c r="J14" s="46">
        <v>3</v>
      </c>
      <c r="K14" s="49" t="s">
        <v>48</v>
      </c>
      <c r="L14" s="49" t="s">
        <v>40</v>
      </c>
      <c r="M14" s="49" t="s">
        <v>35</v>
      </c>
      <c r="N14" s="49" t="s">
        <v>513</v>
      </c>
      <c r="O14" s="49"/>
      <c r="P14" s="49" t="s">
        <v>31</v>
      </c>
      <c r="Q14" s="49" t="s">
        <v>29</v>
      </c>
      <c r="R14" s="49">
        <v>1</v>
      </c>
      <c r="S14" s="50">
        <f t="shared" si="0"/>
        <v>33.333333333333329</v>
      </c>
      <c r="T14" s="49">
        <v>0</v>
      </c>
      <c r="U14" s="50">
        <f t="shared" si="1"/>
        <v>0</v>
      </c>
      <c r="V14" s="45"/>
      <c r="W14" s="49">
        <v>0</v>
      </c>
      <c r="X14" s="50">
        <f t="shared" si="2"/>
        <v>0</v>
      </c>
      <c r="Y14" s="51" t="str">
        <f t="shared" si="3"/>
        <v>No</v>
      </c>
      <c r="Z14" s="49" t="s">
        <v>29</v>
      </c>
      <c r="AA14" s="49" t="s">
        <v>29</v>
      </c>
      <c r="AB14" s="45" t="s">
        <v>35</v>
      </c>
      <c r="AC14" s="46" t="s">
        <v>26</v>
      </c>
      <c r="AD14" s="46" t="s">
        <v>27</v>
      </c>
      <c r="AE14" s="46" t="s">
        <v>73</v>
      </c>
      <c r="AF14" s="46" t="s">
        <v>29</v>
      </c>
      <c r="AG14" s="103"/>
      <c r="AH14" s="52">
        <v>23149</v>
      </c>
      <c r="AI14" s="52">
        <v>23149</v>
      </c>
      <c r="AJ14" s="102">
        <v>60.42</v>
      </c>
      <c r="AK14" s="104">
        <v>120.84</v>
      </c>
      <c r="AL14" s="102">
        <v>60.42</v>
      </c>
      <c r="AM14" s="102"/>
      <c r="AN14" s="53">
        <f t="shared" si="4"/>
        <v>120.84</v>
      </c>
      <c r="AO14" s="53">
        <v>32.39</v>
      </c>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2"/>
      <c r="BP14" s="102"/>
      <c r="BQ14" s="102"/>
      <c r="BR14" s="102"/>
      <c r="BS14" s="54" t="s">
        <v>23</v>
      </c>
      <c r="BT14" s="45" t="str">
        <f t="shared" si="5"/>
        <v>Yes</v>
      </c>
      <c r="BU14" s="45" t="str">
        <f t="shared" si="6"/>
        <v>No</v>
      </c>
      <c r="BV14" s="45" t="str">
        <f t="shared" si="7"/>
        <v>No</v>
      </c>
      <c r="BW14" s="55">
        <f t="shared" si="8"/>
        <v>79.014939981001177</v>
      </c>
      <c r="BX14" s="55">
        <v>76.602095705979295</v>
      </c>
      <c r="BY14" s="55">
        <v>77.832095705979285</v>
      </c>
      <c r="BZ14" s="55">
        <f>BX14-(-0.0246*100/2)</f>
        <v>77.832095705979299</v>
      </c>
      <c r="CA14" s="45">
        <v>2004</v>
      </c>
      <c r="CB14" s="55">
        <f t="shared" si="9"/>
        <v>47.329789409118789</v>
      </c>
      <c r="CC14" s="46" t="s">
        <v>39</v>
      </c>
      <c r="CD14" s="46" t="s">
        <v>179</v>
      </c>
      <c r="CE14" s="46" t="s">
        <v>179</v>
      </c>
      <c r="CF14" s="46">
        <v>1</v>
      </c>
      <c r="CG14" s="46" t="str">
        <f t="shared" si="10"/>
        <v>No</v>
      </c>
      <c r="CH14" s="46" t="s">
        <v>29</v>
      </c>
      <c r="CI14" s="56">
        <v>25</v>
      </c>
      <c r="CJ14" s="46">
        <v>20</v>
      </c>
      <c r="CK14" s="46" t="s">
        <v>23</v>
      </c>
      <c r="CL14" s="49" t="s">
        <v>29</v>
      </c>
      <c r="CM14" s="50">
        <v>0</v>
      </c>
      <c r="CN14" s="50">
        <v>12567.3678</v>
      </c>
      <c r="CO14" s="50" t="s">
        <v>35</v>
      </c>
      <c r="CP14" s="46" t="s">
        <v>23</v>
      </c>
      <c r="CQ14" s="46" t="s">
        <v>23</v>
      </c>
      <c r="CR14" s="46">
        <v>5</v>
      </c>
      <c r="CS14" s="46" t="s">
        <v>854</v>
      </c>
      <c r="CT14" s="46" t="s">
        <v>25</v>
      </c>
      <c r="CU14" s="46" t="s">
        <v>29</v>
      </c>
      <c r="CV14" s="46" t="s">
        <v>23</v>
      </c>
      <c r="CW14" s="46" t="s">
        <v>23</v>
      </c>
      <c r="CX14" s="49" t="s">
        <v>744</v>
      </c>
      <c r="CY14" s="49" t="s">
        <v>36</v>
      </c>
      <c r="CZ14" s="49">
        <v>0</v>
      </c>
      <c r="DA14" s="49">
        <v>1</v>
      </c>
      <c r="DB14" s="64">
        <v>48910</v>
      </c>
      <c r="DC14" s="58">
        <v>56.269999999999996</v>
      </c>
      <c r="DD14" s="58">
        <v>4.95</v>
      </c>
      <c r="DE14" s="58">
        <v>9.49</v>
      </c>
      <c r="DF14" s="58">
        <v>25.629999999999995</v>
      </c>
      <c r="DG14" s="58">
        <v>3.6600000000000077</v>
      </c>
      <c r="DH14" s="58">
        <v>43.730000000000004</v>
      </c>
      <c r="DI14" s="45" t="s">
        <v>29</v>
      </c>
      <c r="DJ14" s="59" t="str">
        <f t="shared" si="11"/>
        <v>N/A</v>
      </c>
      <c r="DK14" s="65">
        <v>48910</v>
      </c>
      <c r="DL14" s="58">
        <v>56.269999999999996</v>
      </c>
      <c r="DM14" s="58">
        <v>4.95</v>
      </c>
      <c r="DN14" s="58">
        <v>9.49</v>
      </c>
      <c r="DO14" s="58">
        <v>43.730000000000004</v>
      </c>
      <c r="DP14" s="61">
        <v>53.5</v>
      </c>
      <c r="DQ14" s="62">
        <v>81108.649999999994</v>
      </c>
      <c r="DR14" s="53">
        <v>9.5</v>
      </c>
      <c r="DS14" s="58">
        <v>75.7</v>
      </c>
      <c r="DT14" s="53">
        <v>48.1</v>
      </c>
      <c r="DU14" s="55">
        <v>2.4900000000000002</v>
      </c>
      <c r="DV14" s="102">
        <v>40.1</v>
      </c>
      <c r="DW14" s="53">
        <v>91.1</v>
      </c>
      <c r="DX14" s="53">
        <v>78.989999999999995</v>
      </c>
      <c r="DY14" s="53">
        <v>40.444000000000003</v>
      </c>
      <c r="DZ14" s="63"/>
    </row>
    <row r="15" spans="1:130" s="5" customFormat="1" ht="14.25" hidden="1" customHeight="1">
      <c r="A15" s="45">
        <v>1009</v>
      </c>
      <c r="B15" s="46" t="s">
        <v>20</v>
      </c>
      <c r="C15" s="47">
        <v>2008</v>
      </c>
      <c r="D15" s="47" t="s">
        <v>21</v>
      </c>
      <c r="E15" s="46" t="s">
        <v>22</v>
      </c>
      <c r="F15" s="46">
        <v>4</v>
      </c>
      <c r="G15" s="48">
        <v>1200</v>
      </c>
      <c r="H15" s="46" t="s">
        <v>557</v>
      </c>
      <c r="I15" s="46">
        <v>2</v>
      </c>
      <c r="J15" s="46">
        <v>4</v>
      </c>
      <c r="K15" s="49" t="s">
        <v>46</v>
      </c>
      <c r="L15" s="49" t="s">
        <v>40</v>
      </c>
      <c r="M15" s="49" t="s">
        <v>35</v>
      </c>
      <c r="N15" s="49" t="s">
        <v>513</v>
      </c>
      <c r="O15" s="49"/>
      <c r="P15" s="49" t="s">
        <v>201</v>
      </c>
      <c r="Q15" s="49" t="s">
        <v>35</v>
      </c>
      <c r="R15" s="49">
        <v>2</v>
      </c>
      <c r="S15" s="50">
        <f t="shared" si="0"/>
        <v>50</v>
      </c>
      <c r="T15" s="49">
        <v>1</v>
      </c>
      <c r="U15" s="50">
        <f t="shared" si="1"/>
        <v>25</v>
      </c>
      <c r="V15" s="49" t="s">
        <v>858</v>
      </c>
      <c r="W15" s="49">
        <v>1</v>
      </c>
      <c r="X15" s="50">
        <f t="shared" si="2"/>
        <v>25</v>
      </c>
      <c r="Y15" s="51" t="str">
        <f t="shared" si="3"/>
        <v>Yes</v>
      </c>
      <c r="Z15" s="49" t="s">
        <v>29</v>
      </c>
      <c r="AA15" s="49" t="s">
        <v>35</v>
      </c>
      <c r="AB15" s="45" t="s">
        <v>35</v>
      </c>
      <c r="AC15" s="46" t="s">
        <v>26</v>
      </c>
      <c r="AD15" s="46" t="s">
        <v>27</v>
      </c>
      <c r="AE15" s="46" t="s">
        <v>155</v>
      </c>
      <c r="AF15" s="46" t="s">
        <v>29</v>
      </c>
      <c r="AG15" s="103"/>
      <c r="AH15" s="52">
        <v>49036</v>
      </c>
      <c r="AI15" s="52">
        <v>49036</v>
      </c>
      <c r="AJ15" s="102">
        <v>29.1</v>
      </c>
      <c r="AK15" s="104">
        <v>87.300000000000011</v>
      </c>
      <c r="AL15" s="102">
        <v>29.1</v>
      </c>
      <c r="AM15" s="102"/>
      <c r="AN15" s="53">
        <f t="shared" si="4"/>
        <v>87.300000000000011</v>
      </c>
      <c r="AO15" s="53">
        <v>23.63</v>
      </c>
      <c r="AP15" s="102"/>
      <c r="AQ15" s="102"/>
      <c r="AR15" s="102"/>
      <c r="AS15" s="102"/>
      <c r="AT15" s="102"/>
      <c r="AU15" s="102"/>
      <c r="AV15" s="102"/>
      <c r="AW15" s="102"/>
      <c r="AX15" s="102"/>
      <c r="AY15" s="102"/>
      <c r="AZ15" s="102"/>
      <c r="BA15" s="102"/>
      <c r="BB15" s="102"/>
      <c r="BC15" s="102"/>
      <c r="BD15" s="102"/>
      <c r="BE15" s="102"/>
      <c r="BF15" s="102"/>
      <c r="BG15" s="102"/>
      <c r="BH15" s="102"/>
      <c r="BI15" s="102"/>
      <c r="BJ15" s="102"/>
      <c r="BK15" s="102"/>
      <c r="BL15" s="102"/>
      <c r="BM15" s="102"/>
      <c r="BN15" s="102"/>
      <c r="BO15" s="102"/>
      <c r="BP15" s="102"/>
      <c r="BQ15" s="102"/>
      <c r="BR15" s="102"/>
      <c r="BS15" s="54" t="s">
        <v>23</v>
      </c>
      <c r="BT15" s="45" t="str">
        <f t="shared" si="5"/>
        <v>Yes</v>
      </c>
      <c r="BU15" s="45" t="str">
        <f t="shared" si="6"/>
        <v>Yes</v>
      </c>
      <c r="BV15" s="45" t="str">
        <f t="shared" si="7"/>
        <v>No</v>
      </c>
      <c r="BW15" s="55">
        <f t="shared" si="8"/>
        <v>79.014939981001177</v>
      </c>
      <c r="BX15" s="55">
        <v>79.014939981001177</v>
      </c>
      <c r="BY15" s="55">
        <v>75.379939981001172</v>
      </c>
      <c r="BZ15" s="55">
        <f>BX15-(0.0727*100/2)</f>
        <v>75.379939981001172</v>
      </c>
      <c r="CA15" s="45">
        <v>2008</v>
      </c>
      <c r="CB15" s="55">
        <f t="shared" si="9"/>
        <v>48.387606078547464</v>
      </c>
      <c r="CC15" s="46" t="s">
        <v>178</v>
      </c>
      <c r="CD15" s="46" t="s">
        <v>179</v>
      </c>
      <c r="CE15" s="46" t="s">
        <v>179</v>
      </c>
      <c r="CF15" s="46">
        <v>1</v>
      </c>
      <c r="CG15" s="46" t="str">
        <f t="shared" si="10"/>
        <v>No</v>
      </c>
      <c r="CH15" s="46" t="s">
        <v>29</v>
      </c>
      <c r="CI15" s="56">
        <v>25</v>
      </c>
      <c r="CJ15" s="46">
        <v>20</v>
      </c>
      <c r="CK15" s="46" t="s">
        <v>23</v>
      </c>
      <c r="CL15" s="49" t="s">
        <v>29</v>
      </c>
      <c r="CM15" s="50">
        <v>0</v>
      </c>
      <c r="CN15" s="50"/>
      <c r="CO15" s="50"/>
      <c r="CP15" s="46" t="s">
        <v>23</v>
      </c>
      <c r="CQ15" s="46" t="s">
        <v>24</v>
      </c>
      <c r="CR15" s="46">
        <v>5</v>
      </c>
      <c r="CS15" s="46" t="s">
        <v>854</v>
      </c>
      <c r="CT15" s="46" t="s">
        <v>25</v>
      </c>
      <c r="CU15" s="46" t="s">
        <v>29</v>
      </c>
      <c r="CV15" s="46" t="s">
        <v>23</v>
      </c>
      <c r="CW15" s="46" t="s">
        <v>23</v>
      </c>
      <c r="CX15" s="49" t="s">
        <v>744</v>
      </c>
      <c r="CY15" s="49" t="s">
        <v>36</v>
      </c>
      <c r="CZ15" s="49">
        <v>0</v>
      </c>
      <c r="DA15" s="49">
        <v>1</v>
      </c>
      <c r="DB15" s="64">
        <v>50670</v>
      </c>
      <c r="DC15" s="58">
        <v>52.27</v>
      </c>
      <c r="DD15" s="58">
        <v>5.54</v>
      </c>
      <c r="DE15" s="58">
        <v>9.58</v>
      </c>
      <c r="DF15" s="58">
        <v>28.7</v>
      </c>
      <c r="DG15" s="58">
        <v>3.9099999999999913</v>
      </c>
      <c r="DH15" s="58">
        <v>47.73</v>
      </c>
      <c r="DI15" s="45" t="s">
        <v>29</v>
      </c>
      <c r="DJ15" s="59" t="str">
        <f t="shared" si="11"/>
        <v>N/A</v>
      </c>
      <c r="DK15" s="65">
        <v>50670</v>
      </c>
      <c r="DL15" s="58">
        <v>52.27</v>
      </c>
      <c r="DM15" s="58">
        <v>5.54</v>
      </c>
      <c r="DN15" s="58">
        <v>9.58</v>
      </c>
      <c r="DO15" s="58">
        <v>47.73</v>
      </c>
      <c r="DP15" s="61">
        <v>54.45</v>
      </c>
      <c r="DQ15" s="62">
        <v>80579.22</v>
      </c>
      <c r="DR15" s="53">
        <v>10.1</v>
      </c>
      <c r="DS15" s="58">
        <v>76.2</v>
      </c>
      <c r="DT15" s="53">
        <v>48.8</v>
      </c>
      <c r="DU15" s="55">
        <v>2.46</v>
      </c>
      <c r="DV15" s="102">
        <v>40.200000000000003</v>
      </c>
      <c r="DW15" s="53">
        <v>90.7</v>
      </c>
      <c r="DX15" s="53">
        <v>81.83</v>
      </c>
      <c r="DY15" s="53">
        <v>39.444600000000001</v>
      </c>
      <c r="DZ15" s="63"/>
    </row>
    <row r="16" spans="1:130" s="5" customFormat="1" ht="14.25" hidden="1" customHeight="1">
      <c r="A16" s="45">
        <v>1010</v>
      </c>
      <c r="B16" s="46" t="s">
        <v>20</v>
      </c>
      <c r="C16" s="47">
        <v>2008</v>
      </c>
      <c r="D16" s="47" t="s">
        <v>21</v>
      </c>
      <c r="E16" s="46" t="s">
        <v>22</v>
      </c>
      <c r="F16" s="46">
        <v>4</v>
      </c>
      <c r="G16" s="48">
        <v>1200</v>
      </c>
      <c r="H16" s="46" t="s">
        <v>557</v>
      </c>
      <c r="I16" s="46">
        <v>2</v>
      </c>
      <c r="J16" s="46">
        <v>4</v>
      </c>
      <c r="K16" s="49" t="s">
        <v>47</v>
      </c>
      <c r="L16" s="49" t="s">
        <v>30</v>
      </c>
      <c r="M16" s="49" t="s">
        <v>29</v>
      </c>
      <c r="N16" s="49" t="s">
        <v>513</v>
      </c>
      <c r="O16" s="49"/>
      <c r="P16" s="49" t="s">
        <v>31</v>
      </c>
      <c r="Q16" s="49" t="s">
        <v>29</v>
      </c>
      <c r="R16" s="49">
        <v>2</v>
      </c>
      <c r="S16" s="50">
        <f t="shared" si="0"/>
        <v>50</v>
      </c>
      <c r="T16" s="49">
        <v>1</v>
      </c>
      <c r="U16" s="50">
        <f t="shared" si="1"/>
        <v>25</v>
      </c>
      <c r="V16" s="49" t="s">
        <v>858</v>
      </c>
      <c r="W16" s="49">
        <v>1</v>
      </c>
      <c r="X16" s="50">
        <f t="shared" si="2"/>
        <v>25</v>
      </c>
      <c r="Y16" s="51" t="str">
        <f t="shared" si="3"/>
        <v>No</v>
      </c>
      <c r="Z16" s="49" t="s">
        <v>29</v>
      </c>
      <c r="AA16" s="49" t="s">
        <v>29</v>
      </c>
      <c r="AB16" s="49" t="s">
        <v>29</v>
      </c>
      <c r="AC16" s="46" t="s">
        <v>26</v>
      </c>
      <c r="AD16" s="46" t="s">
        <v>27</v>
      </c>
      <c r="AE16" s="46" t="s">
        <v>155</v>
      </c>
      <c r="AF16" s="46" t="s">
        <v>29</v>
      </c>
      <c r="AG16" s="103"/>
      <c r="AH16" s="52">
        <v>49036</v>
      </c>
      <c r="AI16" s="52">
        <v>49036</v>
      </c>
      <c r="AJ16" s="102">
        <v>30.7</v>
      </c>
      <c r="AK16" s="104">
        <v>92.100000000000009</v>
      </c>
      <c r="AL16" s="102">
        <v>30.7</v>
      </c>
      <c r="AM16" s="102"/>
      <c r="AN16" s="53">
        <f t="shared" si="4"/>
        <v>92.100000000000009</v>
      </c>
      <c r="AO16" s="53">
        <v>23.63</v>
      </c>
      <c r="AP16" s="102"/>
      <c r="AQ16" s="102"/>
      <c r="AR16" s="102"/>
      <c r="AS16" s="102"/>
      <c r="AT16" s="102"/>
      <c r="AU16" s="102"/>
      <c r="AV16" s="102"/>
      <c r="AW16" s="102"/>
      <c r="AX16" s="102"/>
      <c r="AY16" s="102"/>
      <c r="AZ16" s="102"/>
      <c r="BA16" s="102"/>
      <c r="BB16" s="102"/>
      <c r="BC16" s="102"/>
      <c r="BD16" s="102"/>
      <c r="BE16" s="102"/>
      <c r="BF16" s="102"/>
      <c r="BG16" s="102"/>
      <c r="BH16" s="102"/>
      <c r="BI16" s="102"/>
      <c r="BJ16" s="102"/>
      <c r="BK16" s="102"/>
      <c r="BL16" s="102"/>
      <c r="BM16" s="102"/>
      <c r="BN16" s="102"/>
      <c r="BO16" s="102"/>
      <c r="BP16" s="102"/>
      <c r="BQ16" s="102"/>
      <c r="BR16" s="102"/>
      <c r="BS16" s="54" t="s">
        <v>23</v>
      </c>
      <c r="BT16" s="45" t="str">
        <f t="shared" si="5"/>
        <v>Yes</v>
      </c>
      <c r="BU16" s="45" t="str">
        <f t="shared" si="6"/>
        <v>Yes</v>
      </c>
      <c r="BV16" s="45" t="str">
        <f t="shared" si="7"/>
        <v>No</v>
      </c>
      <c r="BW16" s="55">
        <f t="shared" si="8"/>
        <v>79.014939981001177</v>
      </c>
      <c r="BX16" s="55">
        <v>79.014939981001177</v>
      </c>
      <c r="BY16" s="55">
        <v>75.379939981001172</v>
      </c>
      <c r="BZ16" s="55">
        <f>BX16-(0.0727*100/2)</f>
        <v>75.379939981001172</v>
      </c>
      <c r="CA16" s="45">
        <v>2008</v>
      </c>
      <c r="CB16" s="55">
        <f t="shared" si="9"/>
        <v>48.387606078547464</v>
      </c>
      <c r="CC16" s="46" t="s">
        <v>178</v>
      </c>
      <c r="CD16" s="46" t="s">
        <v>179</v>
      </c>
      <c r="CE16" s="46" t="s">
        <v>179</v>
      </c>
      <c r="CF16" s="46">
        <v>1</v>
      </c>
      <c r="CG16" s="46" t="str">
        <f t="shared" si="10"/>
        <v>No</v>
      </c>
      <c r="CH16" s="46" t="s">
        <v>29</v>
      </c>
      <c r="CI16" s="56">
        <v>25</v>
      </c>
      <c r="CJ16" s="46">
        <v>20</v>
      </c>
      <c r="CK16" s="46" t="s">
        <v>23</v>
      </c>
      <c r="CL16" s="49" t="s">
        <v>29</v>
      </c>
      <c r="CM16" s="50">
        <v>0</v>
      </c>
      <c r="CN16" s="50"/>
      <c r="CO16" s="50"/>
      <c r="CP16" s="46" t="s">
        <v>23</v>
      </c>
      <c r="CQ16" s="46" t="s">
        <v>24</v>
      </c>
      <c r="CR16" s="46">
        <v>5</v>
      </c>
      <c r="CS16" s="46" t="s">
        <v>854</v>
      </c>
      <c r="CT16" s="46" t="s">
        <v>25</v>
      </c>
      <c r="CU16" s="46" t="s">
        <v>29</v>
      </c>
      <c r="CV16" s="46" t="s">
        <v>23</v>
      </c>
      <c r="CW16" s="46" t="s">
        <v>23</v>
      </c>
      <c r="CX16" s="49" t="s">
        <v>744</v>
      </c>
      <c r="CY16" s="49" t="s">
        <v>36</v>
      </c>
      <c r="CZ16" s="49">
        <v>0</v>
      </c>
      <c r="DA16" s="49">
        <v>1</v>
      </c>
      <c r="DB16" s="64">
        <v>50670</v>
      </c>
      <c r="DC16" s="58">
        <v>52.27</v>
      </c>
      <c r="DD16" s="58">
        <v>5.54</v>
      </c>
      <c r="DE16" s="58">
        <v>9.58</v>
      </c>
      <c r="DF16" s="58">
        <v>28.7</v>
      </c>
      <c r="DG16" s="58">
        <v>3.9099999999999913</v>
      </c>
      <c r="DH16" s="58">
        <v>47.73</v>
      </c>
      <c r="DI16" s="45" t="s">
        <v>29</v>
      </c>
      <c r="DJ16" s="59" t="str">
        <f t="shared" si="11"/>
        <v>N/A</v>
      </c>
      <c r="DK16" s="65">
        <v>50670</v>
      </c>
      <c r="DL16" s="58">
        <v>52.27</v>
      </c>
      <c r="DM16" s="58">
        <v>5.54</v>
      </c>
      <c r="DN16" s="58">
        <v>9.58</v>
      </c>
      <c r="DO16" s="58">
        <v>47.73</v>
      </c>
      <c r="DP16" s="61">
        <v>54.45</v>
      </c>
      <c r="DQ16" s="62">
        <v>80579.22</v>
      </c>
      <c r="DR16" s="53">
        <v>10.1</v>
      </c>
      <c r="DS16" s="58">
        <v>76.2</v>
      </c>
      <c r="DT16" s="53">
        <v>48.8</v>
      </c>
      <c r="DU16" s="55">
        <v>2.46</v>
      </c>
      <c r="DV16" s="102">
        <v>40.200000000000003</v>
      </c>
      <c r="DW16" s="53">
        <v>90.7</v>
      </c>
      <c r="DX16" s="53">
        <v>81.83</v>
      </c>
      <c r="DY16" s="53">
        <v>39.444600000000001</v>
      </c>
      <c r="DZ16" s="63"/>
    </row>
    <row r="17" spans="1:130" s="5" customFormat="1" ht="14.25" hidden="1" customHeight="1">
      <c r="A17" s="45">
        <v>1006</v>
      </c>
      <c r="B17" s="46" t="s">
        <v>20</v>
      </c>
      <c r="C17" s="47">
        <v>2010</v>
      </c>
      <c r="D17" s="47" t="s">
        <v>21</v>
      </c>
      <c r="E17" s="46" t="s">
        <v>22</v>
      </c>
      <c r="F17" s="46">
        <v>4</v>
      </c>
      <c r="G17" s="48">
        <v>1200</v>
      </c>
      <c r="H17" s="46" t="s">
        <v>557</v>
      </c>
      <c r="I17" s="46">
        <v>2</v>
      </c>
      <c r="J17" s="46">
        <v>8</v>
      </c>
      <c r="K17" s="49" t="s">
        <v>44</v>
      </c>
      <c r="L17" s="49" t="s">
        <v>40</v>
      </c>
      <c r="M17" s="49" t="s">
        <v>35</v>
      </c>
      <c r="N17" s="49" t="s">
        <v>513</v>
      </c>
      <c r="O17" s="49"/>
      <c r="P17" s="49" t="s">
        <v>34</v>
      </c>
      <c r="Q17" s="49" t="s">
        <v>35</v>
      </c>
      <c r="R17" s="49">
        <v>5</v>
      </c>
      <c r="S17" s="50">
        <f t="shared" si="0"/>
        <v>62.5</v>
      </c>
      <c r="T17" s="49">
        <v>2</v>
      </c>
      <c r="U17" s="50">
        <f t="shared" si="1"/>
        <v>25</v>
      </c>
      <c r="V17" s="49" t="s">
        <v>172</v>
      </c>
      <c r="W17" s="49">
        <v>1</v>
      </c>
      <c r="X17" s="50">
        <f t="shared" si="2"/>
        <v>12.5</v>
      </c>
      <c r="Y17" s="51" t="str">
        <f t="shared" si="3"/>
        <v>Yes</v>
      </c>
      <c r="Z17" s="49" t="s">
        <v>29</v>
      </c>
      <c r="AA17" s="49" t="s">
        <v>35</v>
      </c>
      <c r="AB17" s="45" t="s">
        <v>35</v>
      </c>
      <c r="AC17" s="46" t="s">
        <v>26</v>
      </c>
      <c r="AD17" s="46" t="s">
        <v>27</v>
      </c>
      <c r="AE17" s="46" t="s">
        <v>73</v>
      </c>
      <c r="AF17" s="46" t="s">
        <v>29</v>
      </c>
      <c r="AG17" s="103"/>
      <c r="AH17" s="52">
        <v>44688</v>
      </c>
      <c r="AI17" s="52">
        <v>44688</v>
      </c>
      <c r="AJ17" s="102">
        <v>17.34</v>
      </c>
      <c r="AK17" s="104">
        <v>52.02</v>
      </c>
      <c r="AL17" s="102">
        <v>17.34</v>
      </c>
      <c r="AM17" s="102"/>
      <c r="AN17" s="53">
        <f t="shared" si="4"/>
        <v>52.02</v>
      </c>
      <c r="AO17" s="53">
        <v>17.190000000000001</v>
      </c>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c r="BM17" s="102"/>
      <c r="BN17" s="102"/>
      <c r="BO17" s="102"/>
      <c r="BP17" s="102"/>
      <c r="BQ17" s="102"/>
      <c r="BR17" s="102"/>
      <c r="BS17" s="54" t="s">
        <v>23</v>
      </c>
      <c r="BT17" s="45" t="str">
        <f t="shared" si="5"/>
        <v>Yes</v>
      </c>
      <c r="BU17" s="45" t="str">
        <f t="shared" si="6"/>
        <v>Yes</v>
      </c>
      <c r="BV17" s="45" t="str">
        <f t="shared" si="7"/>
        <v>Yes</v>
      </c>
      <c r="BW17" s="55">
        <f t="shared" si="8"/>
        <v>79.014939981001177</v>
      </c>
      <c r="BX17" s="55">
        <v>79.014939981001177</v>
      </c>
      <c r="BY17" s="55">
        <v>75.379939981001172</v>
      </c>
      <c r="BZ17" s="55">
        <f>BX17-(0.0727*100/2)</f>
        <v>75.379939981001172</v>
      </c>
      <c r="CA17" s="45">
        <v>2008</v>
      </c>
      <c r="CB17" s="55">
        <f t="shared" si="9"/>
        <v>42.386417528217777</v>
      </c>
      <c r="CC17" s="46" t="s">
        <v>178</v>
      </c>
      <c r="CD17" s="46" t="s">
        <v>179</v>
      </c>
      <c r="CE17" s="46" t="s">
        <v>179</v>
      </c>
      <c r="CF17" s="46">
        <v>1</v>
      </c>
      <c r="CG17" s="46" t="str">
        <f t="shared" si="10"/>
        <v>No</v>
      </c>
      <c r="CH17" s="46" t="s">
        <v>29</v>
      </c>
      <c r="CI17" s="56">
        <v>25</v>
      </c>
      <c r="CJ17" s="46">
        <v>20</v>
      </c>
      <c r="CK17" s="46" t="s">
        <v>23</v>
      </c>
      <c r="CL17" s="49" t="s">
        <v>29</v>
      </c>
      <c r="CM17" s="50">
        <v>0</v>
      </c>
      <c r="CN17" s="50"/>
      <c r="CO17" s="50"/>
      <c r="CP17" s="46" t="s">
        <v>23</v>
      </c>
      <c r="CQ17" s="46" t="s">
        <v>24</v>
      </c>
      <c r="CR17" s="46">
        <v>5</v>
      </c>
      <c r="CS17" s="46" t="s">
        <v>854</v>
      </c>
      <c r="CT17" s="46" t="s">
        <v>25</v>
      </c>
      <c r="CU17" s="46" t="s">
        <v>29</v>
      </c>
      <c r="CV17" s="46" t="s">
        <v>23</v>
      </c>
      <c r="CW17" s="46" t="s">
        <v>23</v>
      </c>
      <c r="CX17" s="49" t="s">
        <v>745</v>
      </c>
      <c r="CY17" s="49" t="s">
        <v>36</v>
      </c>
      <c r="CZ17" s="49">
        <v>0</v>
      </c>
      <c r="DA17" s="49">
        <v>1</v>
      </c>
      <c r="DB17" s="64">
        <v>52715</v>
      </c>
      <c r="DC17" s="58">
        <v>50.55487053020962</v>
      </c>
      <c r="DD17" s="58">
        <v>6.6963862278288921</v>
      </c>
      <c r="DE17" s="58">
        <v>10.547282557146923</v>
      </c>
      <c r="DF17" s="58">
        <v>28.208289860570996</v>
      </c>
      <c r="DG17" s="58">
        <v>3.9931708242435748</v>
      </c>
      <c r="DH17" s="58">
        <v>49.44512946979038</v>
      </c>
      <c r="DI17" s="45" t="s">
        <v>29</v>
      </c>
      <c r="DJ17" s="59" t="str">
        <f t="shared" si="11"/>
        <v>N/A</v>
      </c>
      <c r="DK17" s="65">
        <v>52715</v>
      </c>
      <c r="DL17" s="58">
        <v>50.55487053020962</v>
      </c>
      <c r="DM17" s="58">
        <v>6.6963862278288921</v>
      </c>
      <c r="DN17" s="58">
        <v>10.547282557146923</v>
      </c>
      <c r="DO17" s="58">
        <v>49.44512946979038</v>
      </c>
      <c r="DP17" s="61">
        <v>53.2</v>
      </c>
      <c r="DQ17" s="62">
        <v>79651.990000000005</v>
      </c>
      <c r="DR17" s="53">
        <v>9.4</v>
      </c>
      <c r="DS17" s="58">
        <v>78.2</v>
      </c>
      <c r="DT17" s="53">
        <v>48.2</v>
      </c>
      <c r="DU17" s="55">
        <v>2.4700000000000002</v>
      </c>
      <c r="DV17" s="102">
        <v>40</v>
      </c>
      <c r="DW17" s="53">
        <v>91.5</v>
      </c>
      <c r="DX17" s="53">
        <v>86.1</v>
      </c>
      <c r="DY17" s="53">
        <v>45.266300000000001</v>
      </c>
      <c r="DZ17" s="63"/>
    </row>
    <row r="18" spans="1:130" s="5" customFormat="1" ht="14.25" hidden="1" customHeight="1">
      <c r="A18" s="45">
        <v>1007</v>
      </c>
      <c r="B18" s="46" t="s">
        <v>20</v>
      </c>
      <c r="C18" s="47">
        <v>2010</v>
      </c>
      <c r="D18" s="47" t="s">
        <v>21</v>
      </c>
      <c r="E18" s="46" t="s">
        <v>22</v>
      </c>
      <c r="F18" s="46">
        <v>4</v>
      </c>
      <c r="G18" s="48">
        <v>1200</v>
      </c>
      <c r="H18" s="46" t="s">
        <v>557</v>
      </c>
      <c r="I18" s="46">
        <v>2</v>
      </c>
      <c r="J18" s="46">
        <v>8</v>
      </c>
      <c r="K18" s="49" t="s">
        <v>45</v>
      </c>
      <c r="L18" s="49" t="s">
        <v>30</v>
      </c>
      <c r="M18" s="49" t="s">
        <v>29</v>
      </c>
      <c r="N18" s="49" t="s">
        <v>512</v>
      </c>
      <c r="O18" s="49"/>
      <c r="P18" s="49" t="s">
        <v>34</v>
      </c>
      <c r="Q18" s="49" t="s">
        <v>35</v>
      </c>
      <c r="R18" s="49">
        <v>5</v>
      </c>
      <c r="S18" s="50">
        <f t="shared" si="0"/>
        <v>62.5</v>
      </c>
      <c r="T18" s="49">
        <v>2</v>
      </c>
      <c r="U18" s="50">
        <f t="shared" si="1"/>
        <v>25</v>
      </c>
      <c r="V18" s="49" t="s">
        <v>172</v>
      </c>
      <c r="W18" s="49">
        <v>1</v>
      </c>
      <c r="X18" s="50">
        <f t="shared" si="2"/>
        <v>12.5</v>
      </c>
      <c r="Y18" s="51" t="str">
        <f t="shared" si="3"/>
        <v>No</v>
      </c>
      <c r="Z18" s="49" t="s">
        <v>35</v>
      </c>
      <c r="AA18" s="49" t="s">
        <v>23</v>
      </c>
      <c r="AB18" s="49" t="s">
        <v>23</v>
      </c>
      <c r="AC18" s="46" t="s">
        <v>26</v>
      </c>
      <c r="AD18" s="46" t="s">
        <v>27</v>
      </c>
      <c r="AE18" s="46" t="s">
        <v>73</v>
      </c>
      <c r="AF18" s="46" t="s">
        <v>29</v>
      </c>
      <c r="AG18" s="103"/>
      <c r="AH18" s="52">
        <v>44688</v>
      </c>
      <c r="AI18" s="52">
        <v>44688</v>
      </c>
      <c r="AJ18" s="102">
        <v>20.51</v>
      </c>
      <c r="AK18" s="104">
        <v>61.530000000000008</v>
      </c>
      <c r="AL18" s="102">
        <v>20.51</v>
      </c>
      <c r="AM18" s="102"/>
      <c r="AN18" s="53">
        <f t="shared" si="4"/>
        <v>61.530000000000008</v>
      </c>
      <c r="AO18" s="53">
        <v>17.190000000000001</v>
      </c>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c r="BO18" s="102"/>
      <c r="BP18" s="102"/>
      <c r="BQ18" s="102"/>
      <c r="BR18" s="102"/>
      <c r="BS18" s="54" t="s">
        <v>23</v>
      </c>
      <c r="BT18" s="45" t="str">
        <f t="shared" si="5"/>
        <v>Yes</v>
      </c>
      <c r="BU18" s="45" t="str">
        <f t="shared" si="6"/>
        <v>Yes</v>
      </c>
      <c r="BV18" s="45" t="str">
        <f t="shared" si="7"/>
        <v>No</v>
      </c>
      <c r="BW18" s="55">
        <f t="shared" si="8"/>
        <v>79.014939981001177</v>
      </c>
      <c r="BX18" s="55">
        <v>79.014939981001177</v>
      </c>
      <c r="BY18" s="55">
        <v>75.379939981001172</v>
      </c>
      <c r="BZ18" s="55">
        <f>BX18-(0.0727*100/2)</f>
        <v>75.379939981001172</v>
      </c>
      <c r="CA18" s="45">
        <v>2008</v>
      </c>
      <c r="CB18" s="55">
        <f t="shared" si="9"/>
        <v>42.386417528217777</v>
      </c>
      <c r="CC18" s="46" t="s">
        <v>178</v>
      </c>
      <c r="CD18" s="46" t="s">
        <v>179</v>
      </c>
      <c r="CE18" s="46" t="s">
        <v>179</v>
      </c>
      <c r="CF18" s="46">
        <v>1</v>
      </c>
      <c r="CG18" s="46" t="str">
        <f t="shared" si="10"/>
        <v>No</v>
      </c>
      <c r="CH18" s="46" t="s">
        <v>29</v>
      </c>
      <c r="CI18" s="56">
        <v>25</v>
      </c>
      <c r="CJ18" s="46">
        <v>20</v>
      </c>
      <c r="CK18" s="46" t="s">
        <v>23</v>
      </c>
      <c r="CL18" s="49" t="s">
        <v>29</v>
      </c>
      <c r="CM18" s="50">
        <v>0</v>
      </c>
      <c r="CN18" s="50"/>
      <c r="CO18" s="50"/>
      <c r="CP18" s="46" t="s">
        <v>23</v>
      </c>
      <c r="CQ18" s="46" t="s">
        <v>24</v>
      </c>
      <c r="CR18" s="46">
        <v>5</v>
      </c>
      <c r="CS18" s="46" t="s">
        <v>854</v>
      </c>
      <c r="CT18" s="46" t="s">
        <v>25</v>
      </c>
      <c r="CU18" s="46" t="s">
        <v>29</v>
      </c>
      <c r="CV18" s="46" t="s">
        <v>23</v>
      </c>
      <c r="CW18" s="46" t="s">
        <v>23</v>
      </c>
      <c r="CX18" s="49" t="s">
        <v>745</v>
      </c>
      <c r="CY18" s="49" t="s">
        <v>36</v>
      </c>
      <c r="CZ18" s="49">
        <v>0</v>
      </c>
      <c r="DA18" s="49">
        <v>1</v>
      </c>
      <c r="DB18" s="64">
        <v>52715</v>
      </c>
      <c r="DC18" s="58">
        <v>50.55487053020962</v>
      </c>
      <c r="DD18" s="58">
        <v>6.6963862278288921</v>
      </c>
      <c r="DE18" s="58">
        <v>10.547282557146923</v>
      </c>
      <c r="DF18" s="58">
        <v>28.208289860570996</v>
      </c>
      <c r="DG18" s="58">
        <v>3.9931708242435748</v>
      </c>
      <c r="DH18" s="58">
        <v>49.44512946979038</v>
      </c>
      <c r="DI18" s="45" t="s">
        <v>29</v>
      </c>
      <c r="DJ18" s="59" t="str">
        <f t="shared" si="11"/>
        <v>N/A</v>
      </c>
      <c r="DK18" s="65">
        <v>52715</v>
      </c>
      <c r="DL18" s="58">
        <v>50.55487053020962</v>
      </c>
      <c r="DM18" s="58">
        <v>6.6963862278288921</v>
      </c>
      <c r="DN18" s="58">
        <v>10.547282557146923</v>
      </c>
      <c r="DO18" s="58">
        <v>49.44512946979038</v>
      </c>
      <c r="DP18" s="61">
        <v>53.2</v>
      </c>
      <c r="DQ18" s="62">
        <v>79651.990000000005</v>
      </c>
      <c r="DR18" s="53">
        <v>9.4</v>
      </c>
      <c r="DS18" s="58">
        <v>78.2</v>
      </c>
      <c r="DT18" s="53">
        <v>48.2</v>
      </c>
      <c r="DU18" s="55">
        <v>2.4700000000000002</v>
      </c>
      <c r="DV18" s="102">
        <v>40</v>
      </c>
      <c r="DW18" s="53">
        <v>91.5</v>
      </c>
      <c r="DX18" s="53">
        <v>86.1</v>
      </c>
      <c r="DY18" s="53">
        <v>45.266300000000001</v>
      </c>
      <c r="DZ18" s="63"/>
    </row>
    <row r="19" spans="1:130" s="5" customFormat="1" ht="14.25" hidden="1" customHeight="1">
      <c r="A19" s="45">
        <v>1008</v>
      </c>
      <c r="B19" s="46" t="s">
        <v>20</v>
      </c>
      <c r="C19" s="47">
        <v>2010</v>
      </c>
      <c r="D19" s="47" t="s">
        <v>38</v>
      </c>
      <c r="E19" s="46" t="s">
        <v>22</v>
      </c>
      <c r="F19" s="46">
        <v>4</v>
      </c>
      <c r="G19" s="48">
        <v>4909</v>
      </c>
      <c r="H19" s="46" t="s">
        <v>557</v>
      </c>
      <c r="I19" s="46">
        <v>1</v>
      </c>
      <c r="J19" s="46">
        <v>5</v>
      </c>
      <c r="K19" s="49" t="s">
        <v>46</v>
      </c>
      <c r="L19" s="49" t="s">
        <v>40</v>
      </c>
      <c r="M19" s="49" t="s">
        <v>35</v>
      </c>
      <c r="N19" s="49" t="s">
        <v>512</v>
      </c>
      <c r="O19" s="49"/>
      <c r="P19" s="49" t="s">
        <v>201</v>
      </c>
      <c r="Q19" s="49" t="s">
        <v>35</v>
      </c>
      <c r="R19" s="49">
        <v>1</v>
      </c>
      <c r="S19" s="50">
        <f t="shared" si="0"/>
        <v>20</v>
      </c>
      <c r="T19" s="49">
        <v>2</v>
      </c>
      <c r="U19" s="50">
        <f t="shared" si="1"/>
        <v>40</v>
      </c>
      <c r="V19" s="49" t="s">
        <v>891</v>
      </c>
      <c r="W19" s="49">
        <v>1</v>
      </c>
      <c r="X19" s="50">
        <f t="shared" si="2"/>
        <v>20</v>
      </c>
      <c r="Y19" s="51" t="str">
        <f t="shared" si="3"/>
        <v>Yes</v>
      </c>
      <c r="Z19" s="49" t="s">
        <v>35</v>
      </c>
      <c r="AA19" s="49" t="s">
        <v>23</v>
      </c>
      <c r="AB19" s="49" t="s">
        <v>23</v>
      </c>
      <c r="AC19" s="46" t="s">
        <v>26</v>
      </c>
      <c r="AD19" s="46" t="s">
        <v>27</v>
      </c>
      <c r="AE19" s="46" t="s">
        <v>73</v>
      </c>
      <c r="AF19" s="46" t="s">
        <v>29</v>
      </c>
      <c r="AG19" s="103"/>
      <c r="AH19" s="52">
        <v>25196</v>
      </c>
      <c r="AI19" s="52">
        <v>25196</v>
      </c>
      <c r="AJ19" s="102">
        <v>36.9</v>
      </c>
      <c r="AK19" s="104">
        <v>73.8</v>
      </c>
      <c r="AL19" s="102">
        <v>36.9</v>
      </c>
      <c r="AM19" s="102"/>
      <c r="AN19" s="53">
        <f t="shared" si="4"/>
        <v>73.8</v>
      </c>
      <c r="AO19" s="53">
        <v>24.11</v>
      </c>
      <c r="AP19" s="102"/>
      <c r="AQ19" s="102"/>
      <c r="AR19" s="50"/>
      <c r="AS19" s="50"/>
      <c r="AT19" s="102"/>
      <c r="AU19" s="102"/>
      <c r="AV19" s="50"/>
      <c r="AW19" s="50"/>
      <c r="AX19" s="50"/>
      <c r="AY19" s="50"/>
      <c r="AZ19" s="102"/>
      <c r="BA19" s="102"/>
      <c r="BB19" s="102"/>
      <c r="BC19" s="102"/>
      <c r="BD19" s="50"/>
      <c r="BE19" s="50"/>
      <c r="BF19" s="50"/>
      <c r="BG19" s="50"/>
      <c r="BH19" s="102"/>
      <c r="BI19" s="102"/>
      <c r="BJ19" s="50"/>
      <c r="BK19" s="50"/>
      <c r="BL19" s="50"/>
      <c r="BM19" s="50"/>
      <c r="BN19" s="102"/>
      <c r="BO19" s="50"/>
      <c r="BP19" s="50"/>
      <c r="BQ19" s="50"/>
      <c r="BR19" s="102"/>
      <c r="BS19" s="54" t="s">
        <v>23</v>
      </c>
      <c r="BT19" s="45" t="str">
        <f t="shared" si="5"/>
        <v>Yes</v>
      </c>
      <c r="BU19" s="45" t="str">
        <f t="shared" si="6"/>
        <v>No</v>
      </c>
      <c r="BV19" s="45" t="str">
        <f t="shared" si="7"/>
        <v>No</v>
      </c>
      <c r="BW19" s="55">
        <f t="shared" si="8"/>
        <v>79.014939981001177</v>
      </c>
      <c r="BX19" s="55">
        <v>79.014939981001177</v>
      </c>
      <c r="BY19" s="55">
        <v>75.379939981001172</v>
      </c>
      <c r="BZ19" s="55">
        <f>BX19-(0.0727*100/2)</f>
        <v>75.379939981001172</v>
      </c>
      <c r="CA19" s="45">
        <v>2008</v>
      </c>
      <c r="CB19" s="55">
        <f t="shared" si="9"/>
        <v>47.796642321919755</v>
      </c>
      <c r="CC19" s="46" t="s">
        <v>39</v>
      </c>
      <c r="CD19" s="46" t="s">
        <v>179</v>
      </c>
      <c r="CE19" s="46" t="s">
        <v>179</v>
      </c>
      <c r="CF19" s="46">
        <v>1</v>
      </c>
      <c r="CG19" s="46" t="str">
        <f t="shared" si="10"/>
        <v>No</v>
      </c>
      <c r="CH19" s="46" t="s">
        <v>29</v>
      </c>
      <c r="CI19" s="56">
        <v>25</v>
      </c>
      <c r="CJ19" s="46">
        <v>20</v>
      </c>
      <c r="CK19" s="46" t="s">
        <v>23</v>
      </c>
      <c r="CL19" s="49" t="s">
        <v>29</v>
      </c>
      <c r="CM19" s="50">
        <v>0</v>
      </c>
      <c r="CN19" s="50">
        <v>162381.04960000003</v>
      </c>
      <c r="CO19" s="50" t="s">
        <v>35</v>
      </c>
      <c r="CP19" s="46" t="s">
        <v>23</v>
      </c>
      <c r="CQ19" s="46" t="s">
        <v>23</v>
      </c>
      <c r="CR19" s="46">
        <v>5</v>
      </c>
      <c r="CS19" s="46" t="s">
        <v>854</v>
      </c>
      <c r="CT19" s="46" t="s">
        <v>25</v>
      </c>
      <c r="CU19" s="46" t="s">
        <v>29</v>
      </c>
      <c r="CV19" s="46" t="s">
        <v>23</v>
      </c>
      <c r="CW19" s="46" t="s">
        <v>23</v>
      </c>
      <c r="CX19" s="49" t="s">
        <v>745</v>
      </c>
      <c r="CY19" s="49" t="s">
        <v>36</v>
      </c>
      <c r="CZ19" s="49">
        <v>0</v>
      </c>
      <c r="DA19" s="49">
        <v>1</v>
      </c>
      <c r="DB19" s="64">
        <v>52715</v>
      </c>
      <c r="DC19" s="58">
        <v>50.55487053020962</v>
      </c>
      <c r="DD19" s="58">
        <v>6.6963862278288921</v>
      </c>
      <c r="DE19" s="58">
        <v>10.547282557146923</v>
      </c>
      <c r="DF19" s="58">
        <v>28.208289860570996</v>
      </c>
      <c r="DG19" s="58">
        <v>3.9931708242435748</v>
      </c>
      <c r="DH19" s="58">
        <v>49.44512946979038</v>
      </c>
      <c r="DI19" s="45" t="s">
        <v>29</v>
      </c>
      <c r="DJ19" s="59" t="str">
        <f t="shared" si="11"/>
        <v>N/A</v>
      </c>
      <c r="DK19" s="65">
        <v>52715</v>
      </c>
      <c r="DL19" s="58">
        <v>50.55487053020962</v>
      </c>
      <c r="DM19" s="58">
        <v>6.6963862278288921</v>
      </c>
      <c r="DN19" s="58">
        <v>10.547282557146923</v>
      </c>
      <c r="DO19" s="58">
        <v>49.44512946979038</v>
      </c>
      <c r="DP19" s="61">
        <v>53.2</v>
      </c>
      <c r="DQ19" s="62">
        <v>79651.990000000005</v>
      </c>
      <c r="DR19" s="53">
        <v>9.4</v>
      </c>
      <c r="DS19" s="58">
        <v>78.2</v>
      </c>
      <c r="DT19" s="53">
        <v>48.2</v>
      </c>
      <c r="DU19" s="55">
        <v>2.4700000000000002</v>
      </c>
      <c r="DV19" s="102">
        <v>40</v>
      </c>
      <c r="DW19" s="53">
        <v>91.5</v>
      </c>
      <c r="DX19" s="53">
        <v>86.1</v>
      </c>
      <c r="DY19" s="53">
        <v>45.266300000000001</v>
      </c>
      <c r="DZ19" s="63"/>
    </row>
    <row r="20" spans="1:130" s="5" customFormat="1" ht="14.25" hidden="1" customHeight="1">
      <c r="A20" s="45">
        <v>1004</v>
      </c>
      <c r="B20" s="46" t="s">
        <v>20</v>
      </c>
      <c r="C20" s="47">
        <v>2012</v>
      </c>
      <c r="D20" s="47" t="s">
        <v>21</v>
      </c>
      <c r="E20" s="46" t="s">
        <v>22</v>
      </c>
      <c r="F20" s="46">
        <v>4</v>
      </c>
      <c r="G20" s="48">
        <v>2524</v>
      </c>
      <c r="H20" s="46" t="s">
        <v>557</v>
      </c>
      <c r="I20" s="46">
        <v>2</v>
      </c>
      <c r="J20" s="46">
        <v>7</v>
      </c>
      <c r="K20" s="49" t="s">
        <v>43</v>
      </c>
      <c r="L20" s="49" t="s">
        <v>30</v>
      </c>
      <c r="M20" s="49" t="s">
        <v>29</v>
      </c>
      <c r="N20" s="49" t="s">
        <v>512</v>
      </c>
      <c r="O20" s="49"/>
      <c r="P20" s="49" t="s">
        <v>34</v>
      </c>
      <c r="Q20" s="49" t="s">
        <v>35</v>
      </c>
      <c r="R20" s="49">
        <v>3</v>
      </c>
      <c r="S20" s="50">
        <f t="shared" si="0"/>
        <v>42.857142857142854</v>
      </c>
      <c r="T20" s="49">
        <v>4</v>
      </c>
      <c r="U20" s="50">
        <f t="shared" si="1"/>
        <v>57.142857142857139</v>
      </c>
      <c r="V20" s="49" t="s">
        <v>787</v>
      </c>
      <c r="W20" s="49">
        <v>1</v>
      </c>
      <c r="X20" s="50">
        <f t="shared" si="2"/>
        <v>14.285714285714285</v>
      </c>
      <c r="Y20" s="51" t="str">
        <f t="shared" si="3"/>
        <v>No</v>
      </c>
      <c r="Z20" s="49" t="s">
        <v>35</v>
      </c>
      <c r="AA20" s="49" t="s">
        <v>23</v>
      </c>
      <c r="AB20" s="49" t="s">
        <v>23</v>
      </c>
      <c r="AC20" s="46" t="s">
        <v>26</v>
      </c>
      <c r="AD20" s="46" t="s">
        <v>27</v>
      </c>
      <c r="AE20" s="46" t="s">
        <v>155</v>
      </c>
      <c r="AF20" s="46" t="s">
        <v>29</v>
      </c>
      <c r="AG20" s="103">
        <v>69394</v>
      </c>
      <c r="AH20" s="52">
        <v>49492</v>
      </c>
      <c r="AI20" s="52">
        <v>49492</v>
      </c>
      <c r="AJ20" s="102">
        <v>17.899999999999999</v>
      </c>
      <c r="AK20" s="104">
        <v>53.699999999999996</v>
      </c>
      <c r="AL20" s="102">
        <v>17.899999999999999</v>
      </c>
      <c r="AM20" s="102"/>
      <c r="AN20" s="53">
        <f t="shared" si="4"/>
        <v>53.699999999999996</v>
      </c>
      <c r="AO20" s="53">
        <v>15.59</v>
      </c>
      <c r="AP20" s="102">
        <v>19902</v>
      </c>
      <c r="AQ20" s="114">
        <v>28.679712943482144</v>
      </c>
      <c r="AR20" s="50"/>
      <c r="AS20" s="50"/>
      <c r="AT20" s="102"/>
      <c r="AU20" s="102"/>
      <c r="AV20" s="50"/>
      <c r="AW20" s="50"/>
      <c r="AX20" s="50"/>
      <c r="AY20" s="50"/>
      <c r="AZ20" s="102"/>
      <c r="BA20" s="102"/>
      <c r="BB20" s="102"/>
      <c r="BC20" s="102"/>
      <c r="BD20" s="50"/>
      <c r="BE20" s="50"/>
      <c r="BF20" s="50"/>
      <c r="BG20" s="50"/>
      <c r="BH20" s="102"/>
      <c r="BI20" s="102"/>
      <c r="BJ20" s="50"/>
      <c r="BK20" s="50"/>
      <c r="BL20" s="50"/>
      <c r="BM20" s="50"/>
      <c r="BN20" s="102"/>
      <c r="BO20" s="50"/>
      <c r="BP20" s="50"/>
      <c r="BQ20" s="50"/>
      <c r="BR20" s="102"/>
      <c r="BS20" s="54" t="s">
        <v>23</v>
      </c>
      <c r="BT20" s="45" t="str">
        <f t="shared" si="5"/>
        <v>Yes</v>
      </c>
      <c r="BU20" s="45" t="str">
        <f t="shared" si="6"/>
        <v>Yes</v>
      </c>
      <c r="BV20" s="45" t="str">
        <f t="shared" si="7"/>
        <v>Yes</v>
      </c>
      <c r="BW20" s="55">
        <f>(26954/(26954+6339))*100</f>
        <v>80.959961553479715</v>
      </c>
      <c r="BX20" s="55">
        <v>80.959961553479715</v>
      </c>
      <c r="BY20" s="55">
        <v>79.029961553479708</v>
      </c>
      <c r="BZ20" s="55">
        <f>BX20-(0.0386*100/2)</f>
        <v>79.029961553479708</v>
      </c>
      <c r="CA20" s="45">
        <v>2012</v>
      </c>
      <c r="CB20" s="55">
        <f t="shared" si="9"/>
        <v>45.817441214589891</v>
      </c>
      <c r="CC20" s="46" t="s">
        <v>178</v>
      </c>
      <c r="CD20" s="46" t="s">
        <v>179</v>
      </c>
      <c r="CE20" s="46" t="s">
        <v>179</v>
      </c>
      <c r="CF20" s="46">
        <v>1</v>
      </c>
      <c r="CG20" s="46" t="str">
        <f t="shared" si="10"/>
        <v>No</v>
      </c>
      <c r="CH20" s="46" t="s">
        <v>29</v>
      </c>
      <c r="CI20" s="56">
        <v>25</v>
      </c>
      <c r="CJ20" s="46">
        <v>20</v>
      </c>
      <c r="CK20" s="46" t="s">
        <v>23</v>
      </c>
      <c r="CL20" s="49" t="s">
        <v>29</v>
      </c>
      <c r="CM20" s="50">
        <v>0</v>
      </c>
      <c r="CN20" s="50"/>
      <c r="CO20" s="50"/>
      <c r="CP20" s="46" t="s">
        <v>23</v>
      </c>
      <c r="CQ20" s="46" t="s">
        <v>24</v>
      </c>
      <c r="CR20" s="46">
        <v>5</v>
      </c>
      <c r="CS20" s="46" t="s">
        <v>854</v>
      </c>
      <c r="CT20" s="46" t="s">
        <v>25</v>
      </c>
      <c r="CU20" s="46" t="s">
        <v>29</v>
      </c>
      <c r="CV20" s="46" t="s">
        <v>23</v>
      </c>
      <c r="CW20" s="46" t="s">
        <v>23</v>
      </c>
      <c r="CX20" s="49" t="s">
        <v>562</v>
      </c>
      <c r="CY20" s="49" t="s">
        <v>36</v>
      </c>
      <c r="CZ20" s="49">
        <v>1</v>
      </c>
      <c r="DA20" s="49">
        <v>1</v>
      </c>
      <c r="DB20" s="57">
        <v>54010</v>
      </c>
      <c r="DC20" s="58">
        <v>49.833364191816329</v>
      </c>
      <c r="DD20" s="58">
        <v>7.6374745417515282</v>
      </c>
      <c r="DE20" s="58">
        <v>9.970375856322903</v>
      </c>
      <c r="DF20" s="58">
        <v>27.791149787076471</v>
      </c>
      <c r="DG20" s="58">
        <v>4.7676356230327732</v>
      </c>
      <c r="DH20" s="58">
        <v>50.166635808183671</v>
      </c>
      <c r="DI20" s="45" t="s">
        <v>35</v>
      </c>
      <c r="DJ20" s="59" t="str">
        <f t="shared" si="11"/>
        <v>No single majority group</v>
      </c>
      <c r="DK20" s="60">
        <v>54010</v>
      </c>
      <c r="DL20" s="58">
        <v>49.833364191816329</v>
      </c>
      <c r="DM20" s="58">
        <v>7.6374745417515282</v>
      </c>
      <c r="DN20" s="58">
        <v>9.970375856322903</v>
      </c>
      <c r="DO20" s="58">
        <v>50.166635808183671</v>
      </c>
      <c r="DP20" s="61">
        <v>53.5</v>
      </c>
      <c r="DQ20" s="62">
        <v>74606</v>
      </c>
      <c r="DR20" s="53">
        <v>10.6</v>
      </c>
      <c r="DS20" s="58">
        <v>77.400000000000006</v>
      </c>
      <c r="DT20" s="53">
        <v>47.6</v>
      </c>
      <c r="DU20" s="55">
        <v>2.46</v>
      </c>
      <c r="DV20" s="102">
        <v>40.5</v>
      </c>
      <c r="DW20" s="53">
        <v>91.1</v>
      </c>
      <c r="DX20" s="53">
        <v>85.42</v>
      </c>
      <c r="DY20" s="53">
        <v>49.2164</v>
      </c>
      <c r="DZ20" s="63"/>
    </row>
    <row r="21" spans="1:130" s="5" customFormat="1" ht="14.25" hidden="1" customHeight="1">
      <c r="A21" s="45">
        <v>1005</v>
      </c>
      <c r="B21" s="46" t="s">
        <v>20</v>
      </c>
      <c r="C21" s="47">
        <v>2012</v>
      </c>
      <c r="D21" s="47" t="s">
        <v>21</v>
      </c>
      <c r="E21" s="46" t="s">
        <v>22</v>
      </c>
      <c r="F21" s="46">
        <v>4</v>
      </c>
      <c r="G21" s="48">
        <v>2524</v>
      </c>
      <c r="H21" s="46" t="s">
        <v>557</v>
      </c>
      <c r="I21" s="46">
        <v>2</v>
      </c>
      <c r="J21" s="46">
        <v>7</v>
      </c>
      <c r="K21" s="49" t="s">
        <v>42</v>
      </c>
      <c r="L21" s="49" t="s">
        <v>40</v>
      </c>
      <c r="M21" s="49" t="s">
        <v>35</v>
      </c>
      <c r="N21" s="49" t="s">
        <v>512</v>
      </c>
      <c r="O21" s="49"/>
      <c r="P21" s="49" t="s">
        <v>31</v>
      </c>
      <c r="Q21" s="49" t="s">
        <v>29</v>
      </c>
      <c r="R21" s="49">
        <v>3</v>
      </c>
      <c r="S21" s="50">
        <f t="shared" si="0"/>
        <v>42.857142857142854</v>
      </c>
      <c r="T21" s="49">
        <v>4</v>
      </c>
      <c r="U21" s="50">
        <f t="shared" si="1"/>
        <v>57.142857142857139</v>
      </c>
      <c r="V21" s="49" t="s">
        <v>787</v>
      </c>
      <c r="W21" s="49">
        <v>1</v>
      </c>
      <c r="X21" s="50">
        <f t="shared" si="2"/>
        <v>14.285714285714285</v>
      </c>
      <c r="Y21" s="51" t="str">
        <f t="shared" si="3"/>
        <v>No</v>
      </c>
      <c r="Z21" s="49" t="s">
        <v>35</v>
      </c>
      <c r="AA21" s="49" t="s">
        <v>23</v>
      </c>
      <c r="AB21" s="49" t="s">
        <v>23</v>
      </c>
      <c r="AC21" s="46" t="s">
        <v>26</v>
      </c>
      <c r="AD21" s="46" t="s">
        <v>27</v>
      </c>
      <c r="AE21" s="46" t="s">
        <v>155</v>
      </c>
      <c r="AF21" s="46" t="s">
        <v>29</v>
      </c>
      <c r="AG21" s="103">
        <v>69394</v>
      </c>
      <c r="AH21" s="52">
        <v>49492</v>
      </c>
      <c r="AI21" s="52">
        <v>49492</v>
      </c>
      <c r="AJ21" s="102">
        <v>24.93</v>
      </c>
      <c r="AK21" s="104">
        <v>74.790000000000006</v>
      </c>
      <c r="AL21" s="102">
        <v>24.93</v>
      </c>
      <c r="AM21" s="102"/>
      <c r="AN21" s="53">
        <f t="shared" si="4"/>
        <v>74.790000000000006</v>
      </c>
      <c r="AO21" s="53">
        <v>15.59</v>
      </c>
      <c r="AP21" s="102">
        <v>19902</v>
      </c>
      <c r="AQ21" s="114">
        <v>28.679712943482144</v>
      </c>
      <c r="AR21" s="50"/>
      <c r="AS21" s="50"/>
      <c r="AT21" s="102"/>
      <c r="AU21" s="102"/>
      <c r="AV21" s="50"/>
      <c r="AW21" s="50"/>
      <c r="AX21" s="50"/>
      <c r="AY21" s="50"/>
      <c r="AZ21" s="102"/>
      <c r="BA21" s="102"/>
      <c r="BB21" s="102"/>
      <c r="BC21" s="102"/>
      <c r="BD21" s="50"/>
      <c r="BE21" s="50"/>
      <c r="BF21" s="50"/>
      <c r="BG21" s="50"/>
      <c r="BH21" s="102"/>
      <c r="BI21" s="102"/>
      <c r="BJ21" s="50"/>
      <c r="BK21" s="50"/>
      <c r="BL21" s="50"/>
      <c r="BM21" s="50"/>
      <c r="BN21" s="102"/>
      <c r="BO21" s="50"/>
      <c r="BP21" s="50"/>
      <c r="BQ21" s="50"/>
      <c r="BR21" s="102"/>
      <c r="BS21" s="54" t="s">
        <v>23</v>
      </c>
      <c r="BT21" s="45" t="str">
        <f t="shared" si="5"/>
        <v>Yes</v>
      </c>
      <c r="BU21" s="45" t="str">
        <f t="shared" si="6"/>
        <v>No</v>
      </c>
      <c r="BV21" s="45" t="str">
        <f t="shared" si="7"/>
        <v>No</v>
      </c>
      <c r="BW21" s="55">
        <f>(26954/(26954+6339))*100</f>
        <v>80.959961553479715</v>
      </c>
      <c r="BX21" s="55">
        <v>80.959961553479715</v>
      </c>
      <c r="BY21" s="55">
        <v>79.029961553479708</v>
      </c>
      <c r="BZ21" s="55">
        <f>BX21-(0.0386*100/2)</f>
        <v>79.029961553479708</v>
      </c>
      <c r="CA21" s="45">
        <v>2012</v>
      </c>
      <c r="CB21" s="55">
        <f t="shared" si="9"/>
        <v>45.817441214589891</v>
      </c>
      <c r="CC21" s="46" t="s">
        <v>178</v>
      </c>
      <c r="CD21" s="46" t="s">
        <v>179</v>
      </c>
      <c r="CE21" s="46" t="s">
        <v>179</v>
      </c>
      <c r="CF21" s="46">
        <v>1</v>
      </c>
      <c r="CG21" s="46" t="str">
        <f t="shared" si="10"/>
        <v>No</v>
      </c>
      <c r="CH21" s="46" t="s">
        <v>29</v>
      </c>
      <c r="CI21" s="56">
        <v>25</v>
      </c>
      <c r="CJ21" s="46">
        <v>20</v>
      </c>
      <c r="CK21" s="46" t="s">
        <v>23</v>
      </c>
      <c r="CL21" s="49" t="s">
        <v>29</v>
      </c>
      <c r="CM21" s="50">
        <v>0</v>
      </c>
      <c r="CN21" s="50"/>
      <c r="CO21" s="50"/>
      <c r="CP21" s="46" t="s">
        <v>23</v>
      </c>
      <c r="CQ21" s="46" t="s">
        <v>24</v>
      </c>
      <c r="CR21" s="46">
        <v>5</v>
      </c>
      <c r="CS21" s="46" t="s">
        <v>854</v>
      </c>
      <c r="CT21" s="46" t="s">
        <v>25</v>
      </c>
      <c r="CU21" s="46" t="s">
        <v>29</v>
      </c>
      <c r="CV21" s="46" t="s">
        <v>23</v>
      </c>
      <c r="CW21" s="46" t="s">
        <v>23</v>
      </c>
      <c r="CX21" s="49" t="s">
        <v>562</v>
      </c>
      <c r="CY21" s="49" t="s">
        <v>36</v>
      </c>
      <c r="CZ21" s="49">
        <v>1</v>
      </c>
      <c r="DA21" s="49">
        <v>1</v>
      </c>
      <c r="DB21" s="57">
        <v>54010</v>
      </c>
      <c r="DC21" s="58">
        <v>49.833364191816329</v>
      </c>
      <c r="DD21" s="58">
        <v>7.6374745417515282</v>
      </c>
      <c r="DE21" s="58">
        <v>9.970375856322903</v>
      </c>
      <c r="DF21" s="58">
        <v>27.791149787076471</v>
      </c>
      <c r="DG21" s="58">
        <v>4.7676356230327732</v>
      </c>
      <c r="DH21" s="58">
        <v>50.166635808183671</v>
      </c>
      <c r="DI21" s="45" t="s">
        <v>35</v>
      </c>
      <c r="DJ21" s="59" t="str">
        <f t="shared" si="11"/>
        <v>No single majority group</v>
      </c>
      <c r="DK21" s="60">
        <v>54010</v>
      </c>
      <c r="DL21" s="58">
        <v>49.833364191816329</v>
      </c>
      <c r="DM21" s="58">
        <v>7.6374745417515282</v>
      </c>
      <c r="DN21" s="58">
        <v>9.970375856322903</v>
      </c>
      <c r="DO21" s="58">
        <v>50.166635808183671</v>
      </c>
      <c r="DP21" s="61">
        <v>53.5</v>
      </c>
      <c r="DQ21" s="62">
        <v>74606</v>
      </c>
      <c r="DR21" s="53">
        <v>10.6</v>
      </c>
      <c r="DS21" s="58">
        <v>77.400000000000006</v>
      </c>
      <c r="DT21" s="53">
        <v>47.6</v>
      </c>
      <c r="DU21" s="55">
        <v>2.46</v>
      </c>
      <c r="DV21" s="102">
        <v>40.5</v>
      </c>
      <c r="DW21" s="53">
        <v>91.1</v>
      </c>
      <c r="DX21" s="53">
        <v>85.42</v>
      </c>
      <c r="DY21" s="53">
        <v>49.2164</v>
      </c>
      <c r="DZ21" s="63"/>
    </row>
    <row r="22" spans="1:130" s="5" customFormat="1" ht="14.25" hidden="1" customHeight="1">
      <c r="A22" s="45">
        <v>1002</v>
      </c>
      <c r="B22" s="46" t="s">
        <v>20</v>
      </c>
      <c r="C22" s="47">
        <v>2014</v>
      </c>
      <c r="D22" s="47" t="s">
        <v>21</v>
      </c>
      <c r="E22" s="46" t="s">
        <v>22</v>
      </c>
      <c r="F22" s="46">
        <v>4</v>
      </c>
      <c r="G22" s="48">
        <v>2509</v>
      </c>
      <c r="H22" s="46" t="s">
        <v>557</v>
      </c>
      <c r="I22" s="47">
        <v>2</v>
      </c>
      <c r="J22" s="46">
        <v>3</v>
      </c>
      <c r="K22" s="49" t="s">
        <v>37</v>
      </c>
      <c r="L22" s="49" t="s">
        <v>30</v>
      </c>
      <c r="M22" s="49" t="s">
        <v>29</v>
      </c>
      <c r="N22" s="49" t="s">
        <v>512</v>
      </c>
      <c r="O22" s="49">
        <v>2014</v>
      </c>
      <c r="P22" s="49" t="s">
        <v>31</v>
      </c>
      <c r="Q22" s="49" t="s">
        <v>29</v>
      </c>
      <c r="R22" s="49">
        <v>0</v>
      </c>
      <c r="S22" s="50">
        <f t="shared" si="0"/>
        <v>0</v>
      </c>
      <c r="T22" s="49">
        <v>1</v>
      </c>
      <c r="U22" s="50">
        <f t="shared" si="1"/>
        <v>33.333333333333329</v>
      </c>
      <c r="V22" s="49" t="s">
        <v>173</v>
      </c>
      <c r="W22" s="49">
        <v>0</v>
      </c>
      <c r="X22" s="50">
        <f t="shared" si="2"/>
        <v>0</v>
      </c>
      <c r="Y22" s="51" t="str">
        <f t="shared" si="3"/>
        <v>No</v>
      </c>
      <c r="Z22" s="49" t="s">
        <v>35</v>
      </c>
      <c r="AA22" s="49" t="s">
        <v>23</v>
      </c>
      <c r="AB22" s="49" t="s">
        <v>23</v>
      </c>
      <c r="AC22" s="46" t="s">
        <v>26</v>
      </c>
      <c r="AD22" s="46" t="s">
        <v>27</v>
      </c>
      <c r="AE22" s="46" t="s">
        <v>73</v>
      </c>
      <c r="AF22" s="46" t="s">
        <v>29</v>
      </c>
      <c r="AG22" s="103">
        <v>44996</v>
      </c>
      <c r="AH22" s="52">
        <v>30632</v>
      </c>
      <c r="AI22" s="52">
        <v>30632</v>
      </c>
      <c r="AJ22" s="102">
        <v>33.450000000000003</v>
      </c>
      <c r="AK22" s="104">
        <v>100.35000000000001</v>
      </c>
      <c r="AL22" s="102">
        <v>33.450000000000003</v>
      </c>
      <c r="AM22" s="102"/>
      <c r="AN22" s="53">
        <f t="shared" si="4"/>
        <v>100.35000000000001</v>
      </c>
      <c r="AO22" s="53">
        <v>29.8</v>
      </c>
      <c r="AP22" s="102">
        <v>14364</v>
      </c>
      <c r="AQ22" s="114">
        <v>31.922837585563162</v>
      </c>
      <c r="AR22" s="50"/>
      <c r="AS22" s="50"/>
      <c r="AT22" s="102"/>
      <c r="AU22" s="102"/>
      <c r="AV22" s="50"/>
      <c r="AW22" s="50"/>
      <c r="AX22" s="50"/>
      <c r="AY22" s="50"/>
      <c r="AZ22" s="102"/>
      <c r="BA22" s="102"/>
      <c r="BB22" s="102"/>
      <c r="BC22" s="102"/>
      <c r="BD22" s="50"/>
      <c r="BE22" s="50"/>
      <c r="BF22" s="50"/>
      <c r="BG22" s="50"/>
      <c r="BH22" s="102"/>
      <c r="BI22" s="102"/>
      <c r="BJ22" s="50"/>
      <c r="BK22" s="50"/>
      <c r="BL22" s="50"/>
      <c r="BM22" s="50"/>
      <c r="BN22" s="102"/>
      <c r="BO22" s="50"/>
      <c r="BP22" s="50"/>
      <c r="BQ22" s="50"/>
      <c r="BR22" s="102"/>
      <c r="BS22" s="54" t="s">
        <v>23</v>
      </c>
      <c r="BT22" s="45" t="str">
        <f t="shared" si="5"/>
        <v>Yes</v>
      </c>
      <c r="BU22" s="45" t="str">
        <f t="shared" si="6"/>
        <v>Yes</v>
      </c>
      <c r="BV22" s="45" t="str">
        <f t="shared" si="7"/>
        <v>No</v>
      </c>
      <c r="BW22" s="55">
        <f>(26954/(26954+6339))*100</f>
        <v>80.959961553479715</v>
      </c>
      <c r="BX22" s="55">
        <v>80.959961553479715</v>
      </c>
      <c r="BY22" s="55">
        <v>79.029961553479708</v>
      </c>
      <c r="BZ22" s="55">
        <f>BX22-(0.0386*100/2)</f>
        <v>79.029961553479708</v>
      </c>
      <c r="CA22" s="45">
        <v>2012</v>
      </c>
      <c r="CB22" s="55">
        <f t="shared" si="9"/>
        <v>28.357711534900943</v>
      </c>
      <c r="CC22" s="46" t="s">
        <v>178</v>
      </c>
      <c r="CD22" s="46" t="s">
        <v>179</v>
      </c>
      <c r="CE22" s="46" t="s">
        <v>179</v>
      </c>
      <c r="CF22" s="46">
        <v>1</v>
      </c>
      <c r="CG22" s="46" t="str">
        <f t="shared" si="10"/>
        <v>No</v>
      </c>
      <c r="CH22" s="46" t="s">
        <v>29</v>
      </c>
      <c r="CI22" s="56">
        <v>25</v>
      </c>
      <c r="CJ22" s="46">
        <v>20</v>
      </c>
      <c r="CK22" s="46" t="s">
        <v>23</v>
      </c>
      <c r="CL22" s="49" t="s">
        <v>29</v>
      </c>
      <c r="CM22" s="50">
        <v>0</v>
      </c>
      <c r="CN22" s="50"/>
      <c r="CO22" s="50"/>
      <c r="CP22" s="46" t="s">
        <v>23</v>
      </c>
      <c r="CQ22" s="46" t="s">
        <v>24</v>
      </c>
      <c r="CR22" s="46">
        <v>5</v>
      </c>
      <c r="CS22" s="46" t="s">
        <v>854</v>
      </c>
      <c r="CT22" s="46" t="s">
        <v>25</v>
      </c>
      <c r="CU22" s="46" t="s">
        <v>29</v>
      </c>
      <c r="CV22" s="46" t="s">
        <v>23</v>
      </c>
      <c r="CW22" s="46" t="s">
        <v>23</v>
      </c>
      <c r="CX22" s="49" t="s">
        <v>562</v>
      </c>
      <c r="CY22" s="49" t="s">
        <v>36</v>
      </c>
      <c r="CZ22" s="49">
        <v>1</v>
      </c>
      <c r="DA22" s="49">
        <v>1</v>
      </c>
      <c r="DB22" s="57">
        <v>54010</v>
      </c>
      <c r="DC22" s="58">
        <v>49.833364191816329</v>
      </c>
      <c r="DD22" s="58">
        <v>7.6374745417515282</v>
      </c>
      <c r="DE22" s="58">
        <v>9.970375856322903</v>
      </c>
      <c r="DF22" s="58">
        <v>27.791149787076471</v>
      </c>
      <c r="DG22" s="58">
        <v>4.7676356230327732</v>
      </c>
      <c r="DH22" s="58">
        <v>50.166635808183671</v>
      </c>
      <c r="DI22" s="45" t="s">
        <v>35</v>
      </c>
      <c r="DJ22" s="59" t="str">
        <f t="shared" si="11"/>
        <v>No single majority group</v>
      </c>
      <c r="DK22" s="60">
        <v>54010</v>
      </c>
      <c r="DL22" s="58">
        <v>49.833364191816329</v>
      </c>
      <c r="DM22" s="58">
        <v>7.6374745417515282</v>
      </c>
      <c r="DN22" s="58">
        <v>9.970375856322903</v>
      </c>
      <c r="DO22" s="58">
        <v>50.166635808183671</v>
      </c>
      <c r="DP22" s="61">
        <v>53.5</v>
      </c>
      <c r="DQ22" s="62">
        <v>74606</v>
      </c>
      <c r="DR22" s="53">
        <v>10.6</v>
      </c>
      <c r="DS22" s="58">
        <v>77.400000000000006</v>
      </c>
      <c r="DT22" s="53">
        <v>47.6</v>
      </c>
      <c r="DU22" s="55">
        <v>2.46</v>
      </c>
      <c r="DV22" s="102">
        <v>40.5</v>
      </c>
      <c r="DW22" s="53">
        <v>91.1</v>
      </c>
      <c r="DX22" s="53">
        <v>85.42</v>
      </c>
      <c r="DY22" s="53">
        <v>49.2164</v>
      </c>
      <c r="DZ22" s="63"/>
    </row>
    <row r="23" spans="1:130" s="5" customFormat="1" ht="14.25" hidden="1" customHeight="1">
      <c r="A23" s="45">
        <v>1003</v>
      </c>
      <c r="B23" s="46" t="s">
        <v>20</v>
      </c>
      <c r="C23" s="47">
        <v>2014</v>
      </c>
      <c r="D23" s="47" t="s">
        <v>21</v>
      </c>
      <c r="E23" s="46" t="s">
        <v>22</v>
      </c>
      <c r="F23" s="46">
        <v>4</v>
      </c>
      <c r="G23" s="48">
        <v>2509</v>
      </c>
      <c r="H23" s="46" t="s">
        <v>557</v>
      </c>
      <c r="I23" s="47">
        <v>2</v>
      </c>
      <c r="J23" s="46">
        <v>3</v>
      </c>
      <c r="K23" s="49" t="s">
        <v>33</v>
      </c>
      <c r="L23" s="49" t="s">
        <v>30</v>
      </c>
      <c r="M23" s="49" t="s">
        <v>29</v>
      </c>
      <c r="N23" s="49" t="s">
        <v>512</v>
      </c>
      <c r="O23" s="49">
        <v>2014</v>
      </c>
      <c r="P23" s="49" t="s">
        <v>31</v>
      </c>
      <c r="Q23" s="49" t="s">
        <v>29</v>
      </c>
      <c r="R23" s="49">
        <v>0</v>
      </c>
      <c r="S23" s="50">
        <f t="shared" si="0"/>
        <v>0</v>
      </c>
      <c r="T23" s="49">
        <v>1</v>
      </c>
      <c r="U23" s="50">
        <f t="shared" si="1"/>
        <v>33.333333333333329</v>
      </c>
      <c r="V23" s="49" t="s">
        <v>173</v>
      </c>
      <c r="W23" s="49">
        <v>0</v>
      </c>
      <c r="X23" s="50">
        <f t="shared" si="2"/>
        <v>0</v>
      </c>
      <c r="Y23" s="51" t="str">
        <f t="shared" si="3"/>
        <v>No</v>
      </c>
      <c r="Z23" s="49" t="s">
        <v>35</v>
      </c>
      <c r="AA23" s="49" t="s">
        <v>23</v>
      </c>
      <c r="AB23" s="49" t="s">
        <v>23</v>
      </c>
      <c r="AC23" s="46" t="s">
        <v>26</v>
      </c>
      <c r="AD23" s="46" t="s">
        <v>27</v>
      </c>
      <c r="AE23" s="46" t="s">
        <v>73</v>
      </c>
      <c r="AF23" s="46" t="s">
        <v>29</v>
      </c>
      <c r="AG23" s="103">
        <v>44996</v>
      </c>
      <c r="AH23" s="52">
        <v>30632</v>
      </c>
      <c r="AI23" s="52">
        <v>30632</v>
      </c>
      <c r="AJ23" s="102">
        <v>36.299999999999997</v>
      </c>
      <c r="AK23" s="104">
        <v>108.89999999999999</v>
      </c>
      <c r="AL23" s="102">
        <v>36.299999999999997</v>
      </c>
      <c r="AM23" s="102"/>
      <c r="AN23" s="53">
        <f t="shared" si="4"/>
        <v>108.89999999999999</v>
      </c>
      <c r="AO23" s="53">
        <v>29.8</v>
      </c>
      <c r="AP23" s="102">
        <v>14364</v>
      </c>
      <c r="AQ23" s="114">
        <v>31.922837585563162</v>
      </c>
      <c r="AR23" s="50"/>
      <c r="AS23" s="50"/>
      <c r="AT23" s="102"/>
      <c r="AU23" s="102"/>
      <c r="AV23" s="50"/>
      <c r="AW23" s="50"/>
      <c r="AX23" s="50"/>
      <c r="AY23" s="50"/>
      <c r="AZ23" s="102"/>
      <c r="BA23" s="102"/>
      <c r="BB23" s="102"/>
      <c r="BC23" s="102"/>
      <c r="BD23" s="50"/>
      <c r="BE23" s="50"/>
      <c r="BF23" s="50"/>
      <c r="BG23" s="50"/>
      <c r="BH23" s="102"/>
      <c r="BI23" s="102"/>
      <c r="BJ23" s="50"/>
      <c r="BK23" s="50"/>
      <c r="BL23" s="50"/>
      <c r="BM23" s="50"/>
      <c r="BN23" s="102"/>
      <c r="BO23" s="50"/>
      <c r="BP23" s="50"/>
      <c r="BQ23" s="50"/>
      <c r="BR23" s="102"/>
      <c r="BS23" s="54" t="s">
        <v>23</v>
      </c>
      <c r="BT23" s="45" t="str">
        <f t="shared" si="5"/>
        <v>Yes</v>
      </c>
      <c r="BU23" s="45" t="str">
        <f t="shared" si="6"/>
        <v>Yes</v>
      </c>
      <c r="BV23" s="45" t="str">
        <f t="shared" si="7"/>
        <v>No</v>
      </c>
      <c r="BW23" s="55">
        <f>(26954/(26954+6339))*100</f>
        <v>80.959961553479715</v>
      </c>
      <c r="BX23" s="55">
        <v>80.959961553479715</v>
      </c>
      <c r="BY23" s="55">
        <v>79.029961553479708</v>
      </c>
      <c r="BZ23" s="55">
        <f>BX23-(0.0386*100/2)</f>
        <v>79.029961553479708</v>
      </c>
      <c r="CA23" s="45">
        <v>2012</v>
      </c>
      <c r="CB23" s="55">
        <f t="shared" si="9"/>
        <v>28.357711534900943</v>
      </c>
      <c r="CC23" s="46" t="s">
        <v>178</v>
      </c>
      <c r="CD23" s="46" t="s">
        <v>179</v>
      </c>
      <c r="CE23" s="46" t="s">
        <v>179</v>
      </c>
      <c r="CF23" s="46">
        <v>1</v>
      </c>
      <c r="CG23" s="46" t="str">
        <f t="shared" si="10"/>
        <v>No</v>
      </c>
      <c r="CH23" s="46" t="s">
        <v>29</v>
      </c>
      <c r="CI23" s="56">
        <v>25</v>
      </c>
      <c r="CJ23" s="46">
        <v>20</v>
      </c>
      <c r="CK23" s="46" t="s">
        <v>23</v>
      </c>
      <c r="CL23" s="49" t="s">
        <v>29</v>
      </c>
      <c r="CM23" s="50">
        <v>0</v>
      </c>
      <c r="CN23" s="50"/>
      <c r="CO23" s="50"/>
      <c r="CP23" s="46" t="s">
        <v>23</v>
      </c>
      <c r="CQ23" s="46" t="s">
        <v>24</v>
      </c>
      <c r="CR23" s="46">
        <v>5</v>
      </c>
      <c r="CS23" s="46" t="s">
        <v>854</v>
      </c>
      <c r="CT23" s="46" t="s">
        <v>25</v>
      </c>
      <c r="CU23" s="46" t="s">
        <v>29</v>
      </c>
      <c r="CV23" s="46" t="s">
        <v>23</v>
      </c>
      <c r="CW23" s="46" t="s">
        <v>23</v>
      </c>
      <c r="CX23" s="49" t="s">
        <v>562</v>
      </c>
      <c r="CY23" s="49" t="s">
        <v>36</v>
      </c>
      <c r="CZ23" s="49">
        <v>1</v>
      </c>
      <c r="DA23" s="49">
        <v>1</v>
      </c>
      <c r="DB23" s="57">
        <v>54010</v>
      </c>
      <c r="DC23" s="58">
        <v>49.833364191816329</v>
      </c>
      <c r="DD23" s="58">
        <v>7.6374745417515282</v>
      </c>
      <c r="DE23" s="58">
        <v>9.970375856322903</v>
      </c>
      <c r="DF23" s="58">
        <v>27.791149787076471</v>
      </c>
      <c r="DG23" s="58">
        <v>4.7676356230327732</v>
      </c>
      <c r="DH23" s="58">
        <v>50.166635808183671</v>
      </c>
      <c r="DI23" s="45" t="s">
        <v>35</v>
      </c>
      <c r="DJ23" s="59" t="str">
        <f t="shared" si="11"/>
        <v>No single majority group</v>
      </c>
      <c r="DK23" s="60">
        <v>54010</v>
      </c>
      <c r="DL23" s="58">
        <v>49.833364191816329</v>
      </c>
      <c r="DM23" s="58">
        <v>7.6374745417515282</v>
      </c>
      <c r="DN23" s="58">
        <v>9.970375856322903</v>
      </c>
      <c r="DO23" s="58">
        <v>50.166635808183671</v>
      </c>
      <c r="DP23" s="61">
        <v>53.5</v>
      </c>
      <c r="DQ23" s="62">
        <v>74606</v>
      </c>
      <c r="DR23" s="53">
        <v>10.6</v>
      </c>
      <c r="DS23" s="58">
        <v>77.400000000000006</v>
      </c>
      <c r="DT23" s="53">
        <v>47.6</v>
      </c>
      <c r="DU23" s="55">
        <v>2.46</v>
      </c>
      <c r="DV23" s="102">
        <v>40.5</v>
      </c>
      <c r="DW23" s="53">
        <v>91.1</v>
      </c>
      <c r="DX23" s="53">
        <v>85.42</v>
      </c>
      <c r="DY23" s="53">
        <v>49.2164</v>
      </c>
      <c r="DZ23" s="63"/>
    </row>
    <row r="24" spans="1:130" s="5" customFormat="1" ht="14.25" hidden="1" customHeight="1">
      <c r="A24" s="45">
        <v>1001</v>
      </c>
      <c r="B24" s="46" t="s">
        <v>20</v>
      </c>
      <c r="C24" s="47">
        <v>2014</v>
      </c>
      <c r="D24" s="47" t="s">
        <v>38</v>
      </c>
      <c r="E24" s="46" t="s">
        <v>22</v>
      </c>
      <c r="F24" s="46">
        <v>4</v>
      </c>
      <c r="G24" s="48">
        <v>4909</v>
      </c>
      <c r="H24" s="46" t="s">
        <v>557</v>
      </c>
      <c r="I24" s="46">
        <v>1</v>
      </c>
      <c r="J24" s="46">
        <v>2</v>
      </c>
      <c r="K24" s="49" t="s">
        <v>41</v>
      </c>
      <c r="L24" s="49" t="s">
        <v>40</v>
      </c>
      <c r="M24" s="49" t="s">
        <v>35</v>
      </c>
      <c r="N24" s="49" t="s">
        <v>618</v>
      </c>
      <c r="O24" s="49">
        <v>2014</v>
      </c>
      <c r="P24" s="49" t="s">
        <v>31</v>
      </c>
      <c r="Q24" s="49" t="s">
        <v>29</v>
      </c>
      <c r="R24" s="49">
        <v>2</v>
      </c>
      <c r="S24" s="50">
        <f t="shared" si="0"/>
        <v>100</v>
      </c>
      <c r="T24" s="49">
        <v>1</v>
      </c>
      <c r="U24" s="50">
        <f t="shared" si="1"/>
        <v>50</v>
      </c>
      <c r="V24" s="49" t="s">
        <v>858</v>
      </c>
      <c r="W24" s="49">
        <v>1</v>
      </c>
      <c r="X24" s="50">
        <f t="shared" si="2"/>
        <v>50</v>
      </c>
      <c r="Y24" s="51" t="str">
        <f t="shared" si="3"/>
        <v>No</v>
      </c>
      <c r="Z24" s="49" t="s">
        <v>29</v>
      </c>
      <c r="AA24" s="49" t="s">
        <v>35</v>
      </c>
      <c r="AB24" s="45" t="s">
        <v>35</v>
      </c>
      <c r="AC24" s="46" t="s">
        <v>26</v>
      </c>
      <c r="AD24" s="46" t="s">
        <v>27</v>
      </c>
      <c r="AE24" s="46" t="s">
        <v>73</v>
      </c>
      <c r="AF24" s="46" t="s">
        <v>29</v>
      </c>
      <c r="AG24" s="103">
        <v>22498</v>
      </c>
      <c r="AH24" s="52">
        <v>20939</v>
      </c>
      <c r="AI24" s="52">
        <v>20939</v>
      </c>
      <c r="AJ24" s="102">
        <v>50.13</v>
      </c>
      <c r="AK24" s="104">
        <v>100.26</v>
      </c>
      <c r="AL24" s="102">
        <v>50.13</v>
      </c>
      <c r="AM24" s="102"/>
      <c r="AN24" s="53">
        <f t="shared" si="4"/>
        <v>100.26</v>
      </c>
      <c r="AO24" s="53">
        <v>49.55</v>
      </c>
      <c r="AP24" s="102">
        <v>1559</v>
      </c>
      <c r="AQ24" s="114">
        <v>6.9295048448751011</v>
      </c>
      <c r="AR24" s="102"/>
      <c r="AS24" s="102"/>
      <c r="AT24" s="102"/>
      <c r="AU24" s="102"/>
      <c r="AV24" s="50"/>
      <c r="AW24" s="50"/>
      <c r="AX24" s="102"/>
      <c r="AY24" s="102"/>
      <c r="AZ24" s="102"/>
      <c r="BA24" s="102"/>
      <c r="BB24" s="102"/>
      <c r="BC24" s="102"/>
      <c r="BD24" s="102"/>
      <c r="BE24" s="102"/>
      <c r="BF24" s="102"/>
      <c r="BG24" s="102"/>
      <c r="BH24" s="102"/>
      <c r="BI24" s="102"/>
      <c r="BJ24" s="50"/>
      <c r="BK24" s="50"/>
      <c r="BL24" s="50"/>
      <c r="BM24" s="50"/>
      <c r="BN24" s="102"/>
      <c r="BO24" s="102"/>
      <c r="BP24" s="102"/>
      <c r="BQ24" s="102"/>
      <c r="BR24" s="102"/>
      <c r="BS24" s="54" t="s">
        <v>23</v>
      </c>
      <c r="BT24" s="45" t="str">
        <f t="shared" si="5"/>
        <v>Yes</v>
      </c>
      <c r="BU24" s="45" t="str">
        <f t="shared" si="6"/>
        <v>Yes</v>
      </c>
      <c r="BV24" s="45" t="str">
        <f t="shared" si="7"/>
        <v>Yes</v>
      </c>
      <c r="BW24" s="55">
        <f>(26954/(26954+6339))*100</f>
        <v>80.959961553479715</v>
      </c>
      <c r="BX24" s="55">
        <v>80.959961553479715</v>
      </c>
      <c r="BY24" s="55">
        <v>79.029961553479708</v>
      </c>
      <c r="BZ24" s="55">
        <f>BX24-(0.0386*100/2)</f>
        <v>79.029961553479708</v>
      </c>
      <c r="CA24" s="45">
        <v>2012</v>
      </c>
      <c r="CB24" s="55">
        <f t="shared" si="9"/>
        <v>38.768746528420664</v>
      </c>
      <c r="CC24" s="46" t="s">
        <v>39</v>
      </c>
      <c r="CD24" s="46" t="s">
        <v>179</v>
      </c>
      <c r="CE24" s="46" t="s">
        <v>179</v>
      </c>
      <c r="CF24" s="46">
        <v>1</v>
      </c>
      <c r="CG24" s="46" t="str">
        <f t="shared" si="10"/>
        <v>No</v>
      </c>
      <c r="CH24" s="46" t="s">
        <v>29</v>
      </c>
      <c r="CI24" s="56">
        <v>25</v>
      </c>
      <c r="CJ24" s="46">
        <v>20</v>
      </c>
      <c r="CK24" s="46" t="s">
        <v>23</v>
      </c>
      <c r="CL24" s="49" t="s">
        <v>29</v>
      </c>
      <c r="CM24" s="50">
        <v>0</v>
      </c>
      <c r="CN24" s="50">
        <v>79280.72</v>
      </c>
      <c r="CO24" s="50" t="s">
        <v>29</v>
      </c>
      <c r="CP24" s="46" t="s">
        <v>23</v>
      </c>
      <c r="CQ24" s="46" t="s">
        <v>23</v>
      </c>
      <c r="CR24" s="46">
        <v>5</v>
      </c>
      <c r="CS24" s="46" t="s">
        <v>854</v>
      </c>
      <c r="CT24" s="46" t="s">
        <v>25</v>
      </c>
      <c r="CU24" s="46" t="s">
        <v>29</v>
      </c>
      <c r="CV24" s="46" t="s">
        <v>23</v>
      </c>
      <c r="CW24" s="46" t="s">
        <v>23</v>
      </c>
      <c r="CX24" s="49" t="s">
        <v>562</v>
      </c>
      <c r="CY24" s="49" t="s">
        <v>36</v>
      </c>
      <c r="CZ24" s="49">
        <v>1</v>
      </c>
      <c r="DA24" s="49">
        <v>1</v>
      </c>
      <c r="DB24" s="57">
        <v>54010</v>
      </c>
      <c r="DC24" s="58">
        <v>49.833364191816329</v>
      </c>
      <c r="DD24" s="58">
        <v>7.6374745417515282</v>
      </c>
      <c r="DE24" s="58">
        <v>9.970375856322903</v>
      </c>
      <c r="DF24" s="58">
        <v>27.791149787076471</v>
      </c>
      <c r="DG24" s="58">
        <v>4.7676356230327732</v>
      </c>
      <c r="DH24" s="58">
        <v>50.166635808183671</v>
      </c>
      <c r="DI24" s="45" t="s">
        <v>35</v>
      </c>
      <c r="DJ24" s="59" t="str">
        <f t="shared" si="11"/>
        <v>No single majority group</v>
      </c>
      <c r="DK24" s="60">
        <v>54010</v>
      </c>
      <c r="DL24" s="58">
        <v>49.833364191816329</v>
      </c>
      <c r="DM24" s="58">
        <v>7.6374745417515282</v>
      </c>
      <c r="DN24" s="58">
        <v>9.970375856322903</v>
      </c>
      <c r="DO24" s="58">
        <v>50.166635808183671</v>
      </c>
      <c r="DP24" s="61">
        <v>53.5</v>
      </c>
      <c r="DQ24" s="62">
        <v>74606</v>
      </c>
      <c r="DR24" s="53">
        <v>10.6</v>
      </c>
      <c r="DS24" s="58">
        <v>77.400000000000006</v>
      </c>
      <c r="DT24" s="53">
        <v>47.6</v>
      </c>
      <c r="DU24" s="55">
        <v>2.46</v>
      </c>
      <c r="DV24" s="102">
        <v>40.5</v>
      </c>
      <c r="DW24" s="53">
        <v>91.1</v>
      </c>
      <c r="DX24" s="53">
        <v>85.42</v>
      </c>
      <c r="DY24" s="53">
        <v>49.2164</v>
      </c>
      <c r="DZ24" s="63"/>
    </row>
    <row r="25" spans="1:130" s="5" customFormat="1" ht="14.25" hidden="1" customHeight="1">
      <c r="A25" s="45">
        <v>1039</v>
      </c>
      <c r="B25" s="46" t="s">
        <v>52</v>
      </c>
      <c r="C25" s="47">
        <v>2000</v>
      </c>
      <c r="D25" s="47" t="s">
        <v>21</v>
      </c>
      <c r="E25" s="46" t="s">
        <v>22</v>
      </c>
      <c r="F25" s="46">
        <v>4</v>
      </c>
      <c r="G25" s="48">
        <v>15000</v>
      </c>
      <c r="H25" s="46" t="s">
        <v>332</v>
      </c>
      <c r="I25" s="46">
        <v>2</v>
      </c>
      <c r="J25" s="46">
        <v>2</v>
      </c>
      <c r="K25" s="49" t="s">
        <v>68</v>
      </c>
      <c r="L25" s="49" t="s">
        <v>40</v>
      </c>
      <c r="M25" s="49" t="s">
        <v>35</v>
      </c>
      <c r="N25" s="49" t="s">
        <v>513</v>
      </c>
      <c r="O25" s="49"/>
      <c r="P25" s="49" t="s">
        <v>31</v>
      </c>
      <c r="Q25" s="49" t="s">
        <v>29</v>
      </c>
      <c r="R25" s="49">
        <v>1</v>
      </c>
      <c r="S25" s="50">
        <f t="shared" si="0"/>
        <v>50</v>
      </c>
      <c r="T25" s="49">
        <v>0</v>
      </c>
      <c r="U25" s="50">
        <f t="shared" si="1"/>
        <v>0</v>
      </c>
      <c r="V25" s="45"/>
      <c r="W25" s="49">
        <v>0</v>
      </c>
      <c r="X25" s="50">
        <f t="shared" si="2"/>
        <v>0</v>
      </c>
      <c r="Y25" s="51" t="str">
        <f t="shared" si="3"/>
        <v>No</v>
      </c>
      <c r="Z25" s="45" t="s">
        <v>29</v>
      </c>
      <c r="AA25" s="49" t="s">
        <v>29</v>
      </c>
      <c r="AB25" s="45" t="s">
        <v>35</v>
      </c>
      <c r="AC25" s="46" t="s">
        <v>26</v>
      </c>
      <c r="AD25" s="46" t="s">
        <v>27</v>
      </c>
      <c r="AE25" s="46" t="s">
        <v>155</v>
      </c>
      <c r="AF25" s="46" t="s">
        <v>29</v>
      </c>
      <c r="AG25" s="106">
        <v>159520</v>
      </c>
      <c r="AH25" s="64">
        <f>SUM(43438+38358)</f>
        <v>81796</v>
      </c>
      <c r="AI25" s="64">
        <f>SUM(43438+38358)</f>
        <v>81796</v>
      </c>
      <c r="AJ25" s="102">
        <v>54.46</v>
      </c>
      <c r="AK25" s="104">
        <v>163.38000000000002</v>
      </c>
      <c r="AL25" s="102">
        <v>54.46</v>
      </c>
      <c r="AM25" s="102"/>
      <c r="AN25" s="53">
        <f t="shared" si="4"/>
        <v>163.38000000000002</v>
      </c>
      <c r="AO25" s="53" t="s">
        <v>23</v>
      </c>
      <c r="AP25" s="102">
        <f t="shared" ref="AP25:AP44" si="12">AG25-AI25</f>
        <v>77724</v>
      </c>
      <c r="AQ25" s="102">
        <f t="shared" ref="AQ25:AQ44" si="13">AP25/AG25*100</f>
        <v>48.723671013039116</v>
      </c>
      <c r="AR25" s="102"/>
      <c r="AS25" s="102"/>
      <c r="AT25" s="102"/>
      <c r="AU25" s="102"/>
      <c r="AV25" s="102"/>
      <c r="AW25" s="102"/>
      <c r="AX25" s="102"/>
      <c r="AY25" s="102"/>
      <c r="AZ25" s="102"/>
      <c r="BA25" s="102"/>
      <c r="BB25" s="102"/>
      <c r="BC25" s="102"/>
      <c r="BD25" s="102"/>
      <c r="BE25" s="102"/>
      <c r="BF25" s="102"/>
      <c r="BG25" s="102"/>
      <c r="BH25" s="102"/>
      <c r="BI25" s="102"/>
      <c r="BJ25" s="102"/>
      <c r="BK25" s="102"/>
      <c r="BL25" s="102"/>
      <c r="BM25" s="102"/>
      <c r="BN25" s="102"/>
      <c r="BO25" s="102"/>
      <c r="BP25" s="102"/>
      <c r="BQ25" s="102"/>
      <c r="BR25" s="102"/>
      <c r="BS25" s="54" t="s">
        <v>23</v>
      </c>
      <c r="BT25" s="45" t="str">
        <f t="shared" si="5"/>
        <v>No</v>
      </c>
      <c r="BU25" s="45" t="str">
        <f t="shared" si="6"/>
        <v>No</v>
      </c>
      <c r="BV25" s="45" t="str">
        <f t="shared" si="7"/>
        <v>No</v>
      </c>
      <c r="BW25" s="55">
        <f t="shared" ref="BW25:BX29" si="14">(34787/(34787+41401))*100</f>
        <v>45.659421431196513</v>
      </c>
      <c r="BX25" s="55">
        <f t="shared" si="14"/>
        <v>45.659421431196513</v>
      </c>
      <c r="BY25" s="55">
        <v>45.404421431196511</v>
      </c>
      <c r="BZ25" s="55">
        <f>BX25-(0.0051*100/2)</f>
        <v>45.404421431196511</v>
      </c>
      <c r="CA25" s="45">
        <v>2000</v>
      </c>
      <c r="CB25" s="55">
        <f t="shared" si="9"/>
        <v>26.163835844288773</v>
      </c>
      <c r="CC25" s="46" t="s">
        <v>178</v>
      </c>
      <c r="CD25" s="46" t="s">
        <v>179</v>
      </c>
      <c r="CE25" s="46" t="s">
        <v>179</v>
      </c>
      <c r="CF25" s="46">
        <v>1</v>
      </c>
      <c r="CG25" s="46" t="str">
        <f t="shared" si="10"/>
        <v>No</v>
      </c>
      <c r="CH25" s="46" t="s">
        <v>35</v>
      </c>
      <c r="CI25" s="56">
        <v>25</v>
      </c>
      <c r="CJ25" s="46">
        <v>20</v>
      </c>
      <c r="CK25" s="46">
        <v>100</v>
      </c>
      <c r="CL25" s="49" t="s">
        <v>29</v>
      </c>
      <c r="CM25" s="50">
        <v>0</v>
      </c>
      <c r="CN25" s="50"/>
      <c r="CO25" s="50"/>
      <c r="CP25" s="46" t="s">
        <v>23</v>
      </c>
      <c r="CQ25" s="46" t="s">
        <v>24</v>
      </c>
      <c r="CR25" s="46">
        <v>5</v>
      </c>
      <c r="CS25" s="46" t="s">
        <v>854</v>
      </c>
      <c r="CT25" s="46" t="s">
        <v>53</v>
      </c>
      <c r="CU25" s="46" t="s">
        <v>29</v>
      </c>
      <c r="CV25" s="46" t="s">
        <v>23</v>
      </c>
      <c r="CW25" s="46" t="s">
        <v>23</v>
      </c>
      <c r="CX25" s="49" t="s">
        <v>561</v>
      </c>
      <c r="CY25" s="49" t="s">
        <v>59</v>
      </c>
      <c r="CZ25" s="49">
        <v>0</v>
      </c>
      <c r="DA25" s="49">
        <v>0</v>
      </c>
      <c r="DB25" s="64">
        <v>156315</v>
      </c>
      <c r="DC25" s="58">
        <v>57.66</v>
      </c>
      <c r="DD25" s="58">
        <v>3.02</v>
      </c>
      <c r="DE25" s="58">
        <v>23.97</v>
      </c>
      <c r="DF25" s="58">
        <v>11.88</v>
      </c>
      <c r="DG25" s="58">
        <v>3.4699999999999953</v>
      </c>
      <c r="DH25" s="58">
        <v>42.34</v>
      </c>
      <c r="DI25" s="45" t="s">
        <v>29</v>
      </c>
      <c r="DJ25" s="59" t="str">
        <f t="shared" si="11"/>
        <v>N/A</v>
      </c>
      <c r="DK25" s="65">
        <v>156315</v>
      </c>
      <c r="DL25" s="58">
        <v>57.66</v>
      </c>
      <c r="DM25" s="58">
        <v>3.02</v>
      </c>
      <c r="DN25" s="58">
        <v>23.97</v>
      </c>
      <c r="DO25" s="58">
        <v>42.34</v>
      </c>
      <c r="DP25" s="66">
        <v>50</v>
      </c>
      <c r="DQ25" s="67">
        <v>64782.080000000002</v>
      </c>
      <c r="DR25" s="53">
        <v>14.1</v>
      </c>
      <c r="DS25" s="58">
        <v>64.400000000000006</v>
      </c>
      <c r="DT25" s="53">
        <v>50</v>
      </c>
      <c r="DU25" s="55">
        <v>3.34</v>
      </c>
      <c r="DV25" s="102">
        <v>30.3</v>
      </c>
      <c r="DW25" s="53">
        <v>69.3</v>
      </c>
      <c r="DX25" s="53">
        <v>73.712999999999994</v>
      </c>
      <c r="DY25" s="53">
        <v>45.352200000000003</v>
      </c>
      <c r="DZ25" s="63"/>
    </row>
    <row r="26" spans="1:130" s="5" customFormat="1" ht="14.25" hidden="1" customHeight="1">
      <c r="A26" s="45">
        <v>1040</v>
      </c>
      <c r="B26" s="46" t="s">
        <v>52</v>
      </c>
      <c r="C26" s="47">
        <v>2000</v>
      </c>
      <c r="D26" s="47" t="s">
        <v>21</v>
      </c>
      <c r="E26" s="46" t="s">
        <v>22</v>
      </c>
      <c r="F26" s="46">
        <v>4</v>
      </c>
      <c r="G26" s="48">
        <v>15000</v>
      </c>
      <c r="H26" s="46" t="s">
        <v>332</v>
      </c>
      <c r="I26" s="46">
        <v>2</v>
      </c>
      <c r="J26" s="46">
        <v>2</v>
      </c>
      <c r="K26" s="49" t="s">
        <v>57</v>
      </c>
      <c r="L26" s="49" t="s">
        <v>30</v>
      </c>
      <c r="M26" s="49" t="s">
        <v>29</v>
      </c>
      <c r="N26" s="49" t="s">
        <v>513</v>
      </c>
      <c r="O26" s="49"/>
      <c r="P26" s="49" t="s">
        <v>31</v>
      </c>
      <c r="Q26" s="49" t="s">
        <v>29</v>
      </c>
      <c r="R26" s="49">
        <v>1</v>
      </c>
      <c r="S26" s="50">
        <f t="shared" si="0"/>
        <v>50</v>
      </c>
      <c r="T26" s="49">
        <v>0</v>
      </c>
      <c r="U26" s="50">
        <f t="shared" si="1"/>
        <v>0</v>
      </c>
      <c r="V26" s="45"/>
      <c r="W26" s="49">
        <v>0</v>
      </c>
      <c r="X26" s="50">
        <f t="shared" si="2"/>
        <v>0</v>
      </c>
      <c r="Y26" s="51" t="str">
        <f t="shared" si="3"/>
        <v>No</v>
      </c>
      <c r="Z26" s="45" t="s">
        <v>29</v>
      </c>
      <c r="AA26" s="49" t="s">
        <v>29</v>
      </c>
      <c r="AB26" s="49" t="s">
        <v>29</v>
      </c>
      <c r="AC26" s="46" t="s">
        <v>26</v>
      </c>
      <c r="AD26" s="46" t="s">
        <v>27</v>
      </c>
      <c r="AE26" s="46" t="s">
        <v>155</v>
      </c>
      <c r="AF26" s="46" t="s">
        <v>29</v>
      </c>
      <c r="AG26" s="106">
        <v>159520</v>
      </c>
      <c r="AH26" s="64">
        <f>SUM(43438+38358)</f>
        <v>81796</v>
      </c>
      <c r="AI26" s="64">
        <f>SUM(43438+38358)</f>
        <v>81796</v>
      </c>
      <c r="AJ26" s="102">
        <v>48.09</v>
      </c>
      <c r="AK26" s="104">
        <v>144.27000000000001</v>
      </c>
      <c r="AL26" s="102">
        <v>48.09</v>
      </c>
      <c r="AM26" s="102"/>
      <c r="AN26" s="53">
        <f t="shared" si="4"/>
        <v>144.27000000000001</v>
      </c>
      <c r="AO26" s="53" t="s">
        <v>23</v>
      </c>
      <c r="AP26" s="102">
        <f t="shared" si="12"/>
        <v>77724</v>
      </c>
      <c r="AQ26" s="102">
        <f t="shared" si="13"/>
        <v>48.723671013039116</v>
      </c>
      <c r="AR26" s="102"/>
      <c r="AS26" s="102"/>
      <c r="AT26" s="102"/>
      <c r="AU26" s="102"/>
      <c r="AV26" s="102"/>
      <c r="AW26" s="102"/>
      <c r="AX26" s="102"/>
      <c r="AY26" s="102"/>
      <c r="AZ26" s="102"/>
      <c r="BA26" s="102"/>
      <c r="BB26" s="102"/>
      <c r="BC26" s="102"/>
      <c r="BD26" s="102"/>
      <c r="BE26" s="102"/>
      <c r="BF26" s="102"/>
      <c r="BG26" s="102"/>
      <c r="BH26" s="102"/>
      <c r="BI26" s="102"/>
      <c r="BJ26" s="102"/>
      <c r="BK26" s="102"/>
      <c r="BL26" s="102"/>
      <c r="BM26" s="102"/>
      <c r="BN26" s="102"/>
      <c r="BO26" s="102"/>
      <c r="BP26" s="102"/>
      <c r="BQ26" s="102"/>
      <c r="BR26" s="102"/>
      <c r="BS26" s="54" t="s">
        <v>23</v>
      </c>
      <c r="BT26" s="45" t="str">
        <f t="shared" si="5"/>
        <v>No</v>
      </c>
      <c r="BU26" s="45" t="str">
        <f t="shared" si="6"/>
        <v>No</v>
      </c>
      <c r="BV26" s="45" t="str">
        <f t="shared" si="7"/>
        <v>No</v>
      </c>
      <c r="BW26" s="55">
        <f t="shared" si="14"/>
        <v>45.659421431196513</v>
      </c>
      <c r="BX26" s="55">
        <f t="shared" si="14"/>
        <v>45.659421431196513</v>
      </c>
      <c r="BY26" s="55">
        <v>45.404421431196511</v>
      </c>
      <c r="BZ26" s="55">
        <f>BX26-(0.0051*100/2)</f>
        <v>45.404421431196511</v>
      </c>
      <c r="CA26" s="45">
        <v>2000</v>
      </c>
      <c r="CB26" s="55">
        <f t="shared" si="9"/>
        <v>26.163835844288773</v>
      </c>
      <c r="CC26" s="46" t="s">
        <v>178</v>
      </c>
      <c r="CD26" s="46" t="s">
        <v>179</v>
      </c>
      <c r="CE26" s="46" t="s">
        <v>179</v>
      </c>
      <c r="CF26" s="46">
        <v>1</v>
      </c>
      <c r="CG26" s="46" t="str">
        <f t="shared" si="10"/>
        <v>No</v>
      </c>
      <c r="CH26" s="46" t="s">
        <v>35</v>
      </c>
      <c r="CI26" s="56">
        <v>25</v>
      </c>
      <c r="CJ26" s="46">
        <v>20</v>
      </c>
      <c r="CK26" s="46">
        <v>100</v>
      </c>
      <c r="CL26" s="49" t="s">
        <v>29</v>
      </c>
      <c r="CM26" s="50">
        <v>0</v>
      </c>
      <c r="CN26" s="50"/>
      <c r="CO26" s="50"/>
      <c r="CP26" s="46" t="s">
        <v>23</v>
      </c>
      <c r="CQ26" s="46" t="s">
        <v>24</v>
      </c>
      <c r="CR26" s="46">
        <v>5</v>
      </c>
      <c r="CS26" s="46" t="s">
        <v>854</v>
      </c>
      <c r="CT26" s="46" t="s">
        <v>53</v>
      </c>
      <c r="CU26" s="46" t="s">
        <v>29</v>
      </c>
      <c r="CV26" s="46" t="s">
        <v>23</v>
      </c>
      <c r="CW26" s="46" t="s">
        <v>23</v>
      </c>
      <c r="CX26" s="49" t="s">
        <v>561</v>
      </c>
      <c r="CY26" s="49" t="s">
        <v>59</v>
      </c>
      <c r="CZ26" s="49">
        <v>0</v>
      </c>
      <c r="DA26" s="49">
        <v>0</v>
      </c>
      <c r="DB26" s="64">
        <v>156315</v>
      </c>
      <c r="DC26" s="58">
        <v>57.66</v>
      </c>
      <c r="DD26" s="58">
        <v>3.02</v>
      </c>
      <c r="DE26" s="58">
        <v>23.97</v>
      </c>
      <c r="DF26" s="58">
        <v>11.88</v>
      </c>
      <c r="DG26" s="58">
        <v>3.4699999999999953</v>
      </c>
      <c r="DH26" s="58">
        <v>42.34</v>
      </c>
      <c r="DI26" s="45" t="s">
        <v>29</v>
      </c>
      <c r="DJ26" s="59" t="str">
        <f t="shared" si="11"/>
        <v>N/A</v>
      </c>
      <c r="DK26" s="65">
        <v>156315</v>
      </c>
      <c r="DL26" s="58">
        <v>57.66</v>
      </c>
      <c r="DM26" s="58">
        <v>3.02</v>
      </c>
      <c r="DN26" s="58">
        <v>23.97</v>
      </c>
      <c r="DO26" s="58">
        <v>42.34</v>
      </c>
      <c r="DP26" s="66">
        <v>50</v>
      </c>
      <c r="DQ26" s="67">
        <v>64782.080000000002</v>
      </c>
      <c r="DR26" s="53">
        <v>14.1</v>
      </c>
      <c r="DS26" s="58">
        <v>64.400000000000006</v>
      </c>
      <c r="DT26" s="53">
        <v>50</v>
      </c>
      <c r="DU26" s="55">
        <v>3.34</v>
      </c>
      <c r="DV26" s="102">
        <v>30.3</v>
      </c>
      <c r="DW26" s="53">
        <v>69.3</v>
      </c>
      <c r="DX26" s="53">
        <v>73.712999999999994</v>
      </c>
      <c r="DY26" s="53">
        <v>45.352200000000003</v>
      </c>
      <c r="DZ26" s="63"/>
    </row>
    <row r="27" spans="1:130" s="5" customFormat="1" ht="14.25" hidden="1" customHeight="1">
      <c r="A27" s="45">
        <v>1036</v>
      </c>
      <c r="B27" s="46" t="s">
        <v>52</v>
      </c>
      <c r="C27" s="47">
        <v>2002</v>
      </c>
      <c r="D27" s="47" t="s">
        <v>21</v>
      </c>
      <c r="E27" s="46" t="s">
        <v>22</v>
      </c>
      <c r="F27" s="46">
        <v>4</v>
      </c>
      <c r="G27" s="48">
        <v>16000</v>
      </c>
      <c r="H27" s="46" t="s">
        <v>332</v>
      </c>
      <c r="I27" s="46">
        <v>2</v>
      </c>
      <c r="J27" s="46">
        <v>11</v>
      </c>
      <c r="K27" s="49" t="s">
        <v>67</v>
      </c>
      <c r="L27" s="49" t="s">
        <v>30</v>
      </c>
      <c r="M27" s="49" t="s">
        <v>29</v>
      </c>
      <c r="N27" s="49" t="s">
        <v>512</v>
      </c>
      <c r="O27" s="49"/>
      <c r="P27" s="49" t="s">
        <v>857</v>
      </c>
      <c r="Q27" s="49" t="s">
        <v>35</v>
      </c>
      <c r="R27" s="49">
        <v>1</v>
      </c>
      <c r="S27" s="50">
        <f t="shared" si="0"/>
        <v>9.0909090909090917</v>
      </c>
      <c r="T27" s="49">
        <v>4</v>
      </c>
      <c r="U27" s="50">
        <f t="shared" si="1"/>
        <v>36.363636363636367</v>
      </c>
      <c r="V27" s="49" t="s">
        <v>788</v>
      </c>
      <c r="W27" s="49">
        <v>0</v>
      </c>
      <c r="X27" s="50">
        <f t="shared" si="2"/>
        <v>0</v>
      </c>
      <c r="Y27" s="51" t="str">
        <f t="shared" si="3"/>
        <v>No</v>
      </c>
      <c r="Z27" s="45" t="s">
        <v>35</v>
      </c>
      <c r="AA27" s="45" t="s">
        <v>23</v>
      </c>
      <c r="AB27" s="45" t="s">
        <v>23</v>
      </c>
      <c r="AC27" s="46" t="s">
        <v>26</v>
      </c>
      <c r="AD27" s="46" t="s">
        <v>27</v>
      </c>
      <c r="AE27" s="46" t="s">
        <v>73</v>
      </c>
      <c r="AF27" s="46" t="s">
        <v>29</v>
      </c>
      <c r="AG27" s="107">
        <v>101110</v>
      </c>
      <c r="AH27" s="70">
        <f>SUM(15244+13379+12753+8747+8073+7121+6283+4759+2144+1571+1510)</f>
        <v>81584</v>
      </c>
      <c r="AI27" s="70">
        <f>SUM(15244+13379+12753+8747+8073+7121+6283+4759+2144+1571+1510)</f>
        <v>81584</v>
      </c>
      <c r="AJ27" s="102">
        <v>16.399999999999999</v>
      </c>
      <c r="AK27" s="104">
        <v>49.199999999999996</v>
      </c>
      <c r="AL27" s="102">
        <v>16.399999999999999</v>
      </c>
      <c r="AM27" s="102"/>
      <c r="AN27" s="53">
        <f t="shared" si="4"/>
        <v>49.199999999999996</v>
      </c>
      <c r="AO27" s="53">
        <v>15.6</v>
      </c>
      <c r="AP27" s="102">
        <f t="shared" si="12"/>
        <v>19526</v>
      </c>
      <c r="AQ27" s="102">
        <f t="shared" si="13"/>
        <v>19.311640787261396</v>
      </c>
      <c r="AR27" s="102"/>
      <c r="AS27" s="102"/>
      <c r="AT27" s="102"/>
      <c r="AU27" s="102"/>
      <c r="AV27" s="102"/>
      <c r="AW27" s="102"/>
      <c r="AX27" s="102"/>
      <c r="AY27" s="102"/>
      <c r="AZ27" s="102"/>
      <c r="BA27" s="102"/>
      <c r="BB27" s="102"/>
      <c r="BC27" s="102"/>
      <c r="BD27" s="102"/>
      <c r="BE27" s="102"/>
      <c r="BF27" s="102"/>
      <c r="BG27" s="102"/>
      <c r="BH27" s="102"/>
      <c r="BI27" s="102"/>
      <c r="BJ27" s="102"/>
      <c r="BK27" s="102"/>
      <c r="BL27" s="102"/>
      <c r="BM27" s="102"/>
      <c r="BN27" s="102"/>
      <c r="BO27" s="102"/>
      <c r="BP27" s="102"/>
      <c r="BQ27" s="102"/>
      <c r="BR27" s="102"/>
      <c r="BS27" s="54" t="s">
        <v>23</v>
      </c>
      <c r="BT27" s="45" t="str">
        <f t="shared" si="5"/>
        <v>Yes</v>
      </c>
      <c r="BU27" s="45" t="str">
        <f t="shared" si="6"/>
        <v>Yes</v>
      </c>
      <c r="BV27" s="45" t="str">
        <f t="shared" si="7"/>
        <v>Yes</v>
      </c>
      <c r="BW27" s="55">
        <f t="shared" si="14"/>
        <v>45.659421431196513</v>
      </c>
      <c r="BX27" s="55">
        <f t="shared" si="14"/>
        <v>45.659421431196513</v>
      </c>
      <c r="BY27" s="55">
        <v>45.404421431196511</v>
      </c>
      <c r="BZ27" s="55">
        <f>BX27-(0.0051*100/2)</f>
        <v>45.404421431196511</v>
      </c>
      <c r="CA27" s="45">
        <v>2000</v>
      </c>
      <c r="CB27" s="55">
        <f t="shared" si="9"/>
        <v>26.096024053993538</v>
      </c>
      <c r="CC27" s="46" t="s">
        <v>178</v>
      </c>
      <c r="CD27" s="46" t="s">
        <v>179</v>
      </c>
      <c r="CE27" s="46" t="s">
        <v>179</v>
      </c>
      <c r="CF27" s="46">
        <v>1</v>
      </c>
      <c r="CG27" s="46" t="str">
        <f t="shared" si="10"/>
        <v>No</v>
      </c>
      <c r="CH27" s="46" t="s">
        <v>35</v>
      </c>
      <c r="CI27" s="56">
        <v>25</v>
      </c>
      <c r="CJ27" s="46">
        <v>20</v>
      </c>
      <c r="CK27" s="46">
        <v>100</v>
      </c>
      <c r="CL27" s="49" t="s">
        <v>29</v>
      </c>
      <c r="CM27" s="50">
        <v>0</v>
      </c>
      <c r="CN27" s="50"/>
      <c r="CO27" s="50"/>
      <c r="CP27" s="46" t="s">
        <v>23</v>
      </c>
      <c r="CQ27" s="46" t="s">
        <v>24</v>
      </c>
      <c r="CR27" s="46">
        <v>5</v>
      </c>
      <c r="CS27" s="46" t="s">
        <v>854</v>
      </c>
      <c r="CT27" s="46" t="s">
        <v>53</v>
      </c>
      <c r="CU27" s="46" t="s">
        <v>29</v>
      </c>
      <c r="CV27" s="46" t="s">
        <v>23</v>
      </c>
      <c r="CW27" s="46" t="s">
        <v>23</v>
      </c>
      <c r="CX27" s="49" t="s">
        <v>561</v>
      </c>
      <c r="CY27" s="49" t="s">
        <v>59</v>
      </c>
      <c r="CZ27" s="49">
        <v>0</v>
      </c>
      <c r="DA27" s="49">
        <v>0</v>
      </c>
      <c r="DB27" s="64">
        <v>156315</v>
      </c>
      <c r="DC27" s="58">
        <v>57.66</v>
      </c>
      <c r="DD27" s="58">
        <v>3.02</v>
      </c>
      <c r="DE27" s="58">
        <v>23.97</v>
      </c>
      <c r="DF27" s="58">
        <v>11.88</v>
      </c>
      <c r="DG27" s="58">
        <v>3.4699999999999953</v>
      </c>
      <c r="DH27" s="58">
        <v>42.34</v>
      </c>
      <c r="DI27" s="45" t="s">
        <v>29</v>
      </c>
      <c r="DJ27" s="59" t="str">
        <f t="shared" si="11"/>
        <v>N/A</v>
      </c>
      <c r="DK27" s="65">
        <v>156315</v>
      </c>
      <c r="DL27" s="58">
        <v>57.66</v>
      </c>
      <c r="DM27" s="58">
        <v>3.02</v>
      </c>
      <c r="DN27" s="58">
        <v>23.97</v>
      </c>
      <c r="DO27" s="58">
        <v>42.34</v>
      </c>
      <c r="DP27" s="66">
        <v>50</v>
      </c>
      <c r="DQ27" s="67">
        <v>64782.080000000002</v>
      </c>
      <c r="DR27" s="53">
        <v>14.1</v>
      </c>
      <c r="DS27" s="58">
        <v>64.400000000000006</v>
      </c>
      <c r="DT27" s="53">
        <v>50</v>
      </c>
      <c r="DU27" s="55">
        <v>3.34</v>
      </c>
      <c r="DV27" s="102">
        <v>30.3</v>
      </c>
      <c r="DW27" s="53">
        <v>69.3</v>
      </c>
      <c r="DX27" s="53">
        <v>73.712999999999994</v>
      </c>
      <c r="DY27" s="53">
        <v>45.352200000000003</v>
      </c>
      <c r="DZ27" s="63"/>
    </row>
    <row r="28" spans="1:130" s="5" customFormat="1" ht="14.25" hidden="1" customHeight="1">
      <c r="A28" s="45">
        <v>1037</v>
      </c>
      <c r="B28" s="46" t="s">
        <v>52</v>
      </c>
      <c r="C28" s="47">
        <v>2002</v>
      </c>
      <c r="D28" s="47" t="s">
        <v>21</v>
      </c>
      <c r="E28" s="46" t="s">
        <v>22</v>
      </c>
      <c r="F28" s="46">
        <v>4</v>
      </c>
      <c r="G28" s="48">
        <v>16000</v>
      </c>
      <c r="H28" s="46" t="s">
        <v>332</v>
      </c>
      <c r="I28" s="46">
        <v>2</v>
      </c>
      <c r="J28" s="46">
        <v>11</v>
      </c>
      <c r="K28" s="49" t="s">
        <v>65</v>
      </c>
      <c r="L28" s="49" t="s">
        <v>30</v>
      </c>
      <c r="M28" s="49" t="s">
        <v>29</v>
      </c>
      <c r="N28" s="49" t="s">
        <v>512</v>
      </c>
      <c r="O28" s="49"/>
      <c r="P28" s="49" t="s">
        <v>31</v>
      </c>
      <c r="Q28" s="49" t="s">
        <v>29</v>
      </c>
      <c r="R28" s="49">
        <v>1</v>
      </c>
      <c r="S28" s="50">
        <f t="shared" si="0"/>
        <v>9.0909090909090917</v>
      </c>
      <c r="T28" s="49">
        <v>4</v>
      </c>
      <c r="U28" s="50">
        <f t="shared" si="1"/>
        <v>36.363636363636367</v>
      </c>
      <c r="V28" s="49" t="s">
        <v>788</v>
      </c>
      <c r="W28" s="49">
        <v>0</v>
      </c>
      <c r="X28" s="50">
        <f t="shared" si="2"/>
        <v>0</v>
      </c>
      <c r="Y28" s="51" t="str">
        <f t="shared" si="3"/>
        <v>No</v>
      </c>
      <c r="Z28" s="45" t="s">
        <v>35</v>
      </c>
      <c r="AA28" s="45" t="s">
        <v>23</v>
      </c>
      <c r="AB28" s="45" t="s">
        <v>23</v>
      </c>
      <c r="AC28" s="46" t="s">
        <v>26</v>
      </c>
      <c r="AD28" s="46" t="s">
        <v>27</v>
      </c>
      <c r="AE28" s="46" t="s">
        <v>73</v>
      </c>
      <c r="AF28" s="46" t="s">
        <v>29</v>
      </c>
      <c r="AG28" s="107">
        <v>101110</v>
      </c>
      <c r="AH28" s="70">
        <f>SUM(15244+13379+12753+8747+8073+7121+6283+4759+2144+1571+1510)</f>
        <v>81584</v>
      </c>
      <c r="AI28" s="70">
        <f>SUM(15244+13379+12753+8747+8073+7121+6283+4759+2144+1571+1510)</f>
        <v>81584</v>
      </c>
      <c r="AJ28" s="102">
        <v>18.7</v>
      </c>
      <c r="AK28" s="104">
        <v>56.1</v>
      </c>
      <c r="AL28" s="102">
        <v>18.7</v>
      </c>
      <c r="AM28" s="102"/>
      <c r="AN28" s="53">
        <f t="shared" si="4"/>
        <v>56.1</v>
      </c>
      <c r="AO28" s="53">
        <v>15.6</v>
      </c>
      <c r="AP28" s="102">
        <f t="shared" si="12"/>
        <v>19526</v>
      </c>
      <c r="AQ28" s="102">
        <f t="shared" si="13"/>
        <v>19.311640787261396</v>
      </c>
      <c r="AR28" s="102"/>
      <c r="AS28" s="102"/>
      <c r="AT28" s="102"/>
      <c r="AU28" s="102"/>
      <c r="AV28" s="102"/>
      <c r="AW28" s="102"/>
      <c r="AX28" s="102"/>
      <c r="AY28" s="102"/>
      <c r="AZ28" s="102"/>
      <c r="BA28" s="102"/>
      <c r="BB28" s="102"/>
      <c r="BC28" s="102"/>
      <c r="BD28" s="102"/>
      <c r="BE28" s="102"/>
      <c r="BF28" s="102"/>
      <c r="BG28" s="102"/>
      <c r="BH28" s="102"/>
      <c r="BI28" s="102"/>
      <c r="BJ28" s="102"/>
      <c r="BK28" s="102"/>
      <c r="BL28" s="102"/>
      <c r="BM28" s="102"/>
      <c r="BN28" s="102"/>
      <c r="BO28" s="102"/>
      <c r="BP28" s="102"/>
      <c r="BQ28" s="102"/>
      <c r="BR28" s="102"/>
      <c r="BS28" s="54" t="s">
        <v>23</v>
      </c>
      <c r="BT28" s="45" t="str">
        <f t="shared" si="5"/>
        <v>Yes</v>
      </c>
      <c r="BU28" s="45" t="str">
        <f t="shared" si="6"/>
        <v>Yes</v>
      </c>
      <c r="BV28" s="45" t="str">
        <f t="shared" si="7"/>
        <v>No</v>
      </c>
      <c r="BW28" s="55">
        <f t="shared" si="14"/>
        <v>45.659421431196513</v>
      </c>
      <c r="BX28" s="55">
        <f t="shared" si="14"/>
        <v>45.659421431196513</v>
      </c>
      <c r="BY28" s="55">
        <v>45.404421431196511</v>
      </c>
      <c r="BZ28" s="55">
        <f>BX28-(0.0051*100/2)</f>
        <v>45.404421431196511</v>
      </c>
      <c r="CA28" s="45">
        <v>2000</v>
      </c>
      <c r="CB28" s="55">
        <f t="shared" si="9"/>
        <v>26.096024053993538</v>
      </c>
      <c r="CC28" s="46" t="s">
        <v>178</v>
      </c>
      <c r="CD28" s="46" t="s">
        <v>179</v>
      </c>
      <c r="CE28" s="46" t="s">
        <v>179</v>
      </c>
      <c r="CF28" s="46">
        <v>1</v>
      </c>
      <c r="CG28" s="46" t="str">
        <f t="shared" si="10"/>
        <v>No</v>
      </c>
      <c r="CH28" s="46" t="s">
        <v>35</v>
      </c>
      <c r="CI28" s="56">
        <v>25</v>
      </c>
      <c r="CJ28" s="46">
        <v>20</v>
      </c>
      <c r="CK28" s="46">
        <v>100</v>
      </c>
      <c r="CL28" s="49" t="s">
        <v>29</v>
      </c>
      <c r="CM28" s="50">
        <v>0</v>
      </c>
      <c r="CN28" s="50"/>
      <c r="CO28" s="50"/>
      <c r="CP28" s="46" t="s">
        <v>23</v>
      </c>
      <c r="CQ28" s="46" t="s">
        <v>24</v>
      </c>
      <c r="CR28" s="46">
        <v>5</v>
      </c>
      <c r="CS28" s="46" t="s">
        <v>854</v>
      </c>
      <c r="CT28" s="46" t="s">
        <v>53</v>
      </c>
      <c r="CU28" s="46" t="s">
        <v>29</v>
      </c>
      <c r="CV28" s="46" t="s">
        <v>23</v>
      </c>
      <c r="CW28" s="46" t="s">
        <v>23</v>
      </c>
      <c r="CX28" s="49" t="s">
        <v>561</v>
      </c>
      <c r="CY28" s="49" t="s">
        <v>59</v>
      </c>
      <c r="CZ28" s="49">
        <v>0</v>
      </c>
      <c r="DA28" s="49">
        <v>0</v>
      </c>
      <c r="DB28" s="64">
        <v>156315</v>
      </c>
      <c r="DC28" s="58">
        <v>57.66</v>
      </c>
      <c r="DD28" s="58">
        <v>3.02</v>
      </c>
      <c r="DE28" s="58">
        <v>23.97</v>
      </c>
      <c r="DF28" s="58">
        <v>11.88</v>
      </c>
      <c r="DG28" s="58">
        <v>3.4699999999999953</v>
      </c>
      <c r="DH28" s="58">
        <v>42.34</v>
      </c>
      <c r="DI28" s="45" t="s">
        <v>29</v>
      </c>
      <c r="DJ28" s="59" t="str">
        <f t="shared" si="11"/>
        <v>N/A</v>
      </c>
      <c r="DK28" s="65">
        <v>156315</v>
      </c>
      <c r="DL28" s="58">
        <v>57.66</v>
      </c>
      <c r="DM28" s="58">
        <v>3.02</v>
      </c>
      <c r="DN28" s="58">
        <v>23.97</v>
      </c>
      <c r="DO28" s="58">
        <v>42.34</v>
      </c>
      <c r="DP28" s="66">
        <v>50</v>
      </c>
      <c r="DQ28" s="67">
        <v>64782.080000000002</v>
      </c>
      <c r="DR28" s="53">
        <v>14.1</v>
      </c>
      <c r="DS28" s="58">
        <v>64.400000000000006</v>
      </c>
      <c r="DT28" s="53">
        <v>50</v>
      </c>
      <c r="DU28" s="55">
        <v>3.34</v>
      </c>
      <c r="DV28" s="102">
        <v>30.3</v>
      </c>
      <c r="DW28" s="53">
        <v>69.3</v>
      </c>
      <c r="DX28" s="53">
        <v>73.712999999999994</v>
      </c>
      <c r="DY28" s="53">
        <v>45.352200000000003</v>
      </c>
      <c r="DZ28" s="63"/>
    </row>
    <row r="29" spans="1:130" s="5" customFormat="1" ht="14.25" hidden="1" customHeight="1">
      <c r="A29" s="45">
        <v>1038</v>
      </c>
      <c r="B29" s="46" t="s">
        <v>52</v>
      </c>
      <c r="C29" s="47">
        <v>2002</v>
      </c>
      <c r="D29" s="47" t="s">
        <v>38</v>
      </c>
      <c r="E29" s="46" t="s">
        <v>22</v>
      </c>
      <c r="F29" s="46">
        <v>4</v>
      </c>
      <c r="G29" s="48">
        <v>17000</v>
      </c>
      <c r="H29" s="46" t="s">
        <v>332</v>
      </c>
      <c r="I29" s="46">
        <v>1</v>
      </c>
      <c r="J29" s="46">
        <v>4</v>
      </c>
      <c r="K29" s="49" t="s">
        <v>66</v>
      </c>
      <c r="L29" s="49" t="s">
        <v>30</v>
      </c>
      <c r="M29" s="49" t="s">
        <v>29</v>
      </c>
      <c r="N29" s="49" t="s">
        <v>512</v>
      </c>
      <c r="O29" s="49"/>
      <c r="P29" s="49" t="s">
        <v>31</v>
      </c>
      <c r="Q29" s="49" t="s">
        <v>29</v>
      </c>
      <c r="R29" s="49">
        <v>1</v>
      </c>
      <c r="S29" s="50">
        <f t="shared" si="0"/>
        <v>25</v>
      </c>
      <c r="T29" s="49">
        <v>0</v>
      </c>
      <c r="U29" s="50">
        <f t="shared" si="1"/>
        <v>0</v>
      </c>
      <c r="V29" s="45"/>
      <c r="W29" s="49">
        <v>0</v>
      </c>
      <c r="X29" s="50">
        <f t="shared" si="2"/>
        <v>0</v>
      </c>
      <c r="Y29" s="51" t="str">
        <f t="shared" si="3"/>
        <v>No</v>
      </c>
      <c r="Z29" s="45" t="s">
        <v>35</v>
      </c>
      <c r="AA29" s="45" t="s">
        <v>23</v>
      </c>
      <c r="AB29" s="45" t="s">
        <v>23</v>
      </c>
      <c r="AC29" s="46" t="s">
        <v>26</v>
      </c>
      <c r="AD29" s="46" t="s">
        <v>27</v>
      </c>
      <c r="AE29" s="46" t="s">
        <v>73</v>
      </c>
      <c r="AF29" s="46" t="s">
        <v>29</v>
      </c>
      <c r="AG29" s="107">
        <v>50555</v>
      </c>
      <c r="AH29" s="70">
        <f>SUM(16146+12142+9783+6928)</f>
        <v>44999</v>
      </c>
      <c r="AI29" s="70">
        <f>SUM(16146+12142+9783+6928)</f>
        <v>44999</v>
      </c>
      <c r="AJ29" s="102">
        <v>35.9</v>
      </c>
      <c r="AK29" s="104">
        <v>71.8</v>
      </c>
      <c r="AL29" s="102">
        <v>35.9</v>
      </c>
      <c r="AM29" s="102"/>
      <c r="AN29" s="53">
        <f t="shared" si="4"/>
        <v>71.8</v>
      </c>
      <c r="AO29" s="53">
        <v>27</v>
      </c>
      <c r="AP29" s="102">
        <f t="shared" si="12"/>
        <v>5556</v>
      </c>
      <c r="AQ29" s="102">
        <f t="shared" si="13"/>
        <v>10.990010879240431</v>
      </c>
      <c r="AR29" s="102"/>
      <c r="AS29" s="102"/>
      <c r="AT29" s="102"/>
      <c r="AU29" s="102"/>
      <c r="AV29" s="102"/>
      <c r="AW29" s="102"/>
      <c r="AX29" s="102"/>
      <c r="AY29" s="102"/>
      <c r="AZ29" s="102"/>
      <c r="BA29" s="102"/>
      <c r="BB29" s="102"/>
      <c r="BC29" s="102"/>
      <c r="BD29" s="102"/>
      <c r="BE29" s="102"/>
      <c r="BF29" s="102"/>
      <c r="BG29" s="102"/>
      <c r="BH29" s="102"/>
      <c r="BI29" s="102"/>
      <c r="BJ29" s="102"/>
      <c r="BK29" s="102"/>
      <c r="BL29" s="102"/>
      <c r="BM29" s="102"/>
      <c r="BN29" s="102"/>
      <c r="BO29" s="102"/>
      <c r="BP29" s="102"/>
      <c r="BQ29" s="102"/>
      <c r="BR29" s="102"/>
      <c r="BS29" s="54" t="s">
        <v>23</v>
      </c>
      <c r="BT29" s="45" t="str">
        <f t="shared" si="5"/>
        <v>Yes</v>
      </c>
      <c r="BU29" s="45" t="str">
        <f t="shared" si="6"/>
        <v>Yes</v>
      </c>
      <c r="BV29" s="45" t="str">
        <f t="shared" si="7"/>
        <v>No</v>
      </c>
      <c r="BW29" s="55">
        <f t="shared" si="14"/>
        <v>45.659421431196513</v>
      </c>
      <c r="BX29" s="55">
        <f t="shared" si="14"/>
        <v>45.659421431196513</v>
      </c>
      <c r="BY29" s="55">
        <v>45.404421431196511</v>
      </c>
      <c r="BZ29" s="55">
        <f>BX29-(0.0051*100/2)</f>
        <v>45.404421431196511</v>
      </c>
      <c r="CA29" s="45">
        <v>2000</v>
      </c>
      <c r="CB29" s="55">
        <f t="shared" si="9"/>
        <v>28.787384448069602</v>
      </c>
      <c r="CC29" s="46" t="s">
        <v>39</v>
      </c>
      <c r="CD29" s="46" t="s">
        <v>179</v>
      </c>
      <c r="CE29" s="46" t="s">
        <v>179</v>
      </c>
      <c r="CF29" s="46">
        <v>1</v>
      </c>
      <c r="CG29" s="46" t="str">
        <f t="shared" si="10"/>
        <v>No</v>
      </c>
      <c r="CH29" s="46" t="s">
        <v>35</v>
      </c>
      <c r="CI29" s="56">
        <v>25</v>
      </c>
      <c r="CJ29" s="46">
        <v>20</v>
      </c>
      <c r="CK29" s="46">
        <v>100</v>
      </c>
      <c r="CL29" s="49" t="s">
        <v>29</v>
      </c>
      <c r="CM29" s="50">
        <v>0</v>
      </c>
      <c r="CN29" s="101"/>
      <c r="CO29" s="50"/>
      <c r="CP29" s="46" t="s">
        <v>23</v>
      </c>
      <c r="CQ29" s="46" t="s">
        <v>23</v>
      </c>
      <c r="CR29" s="46">
        <v>5</v>
      </c>
      <c r="CS29" s="46" t="s">
        <v>854</v>
      </c>
      <c r="CT29" s="46" t="s">
        <v>53</v>
      </c>
      <c r="CU29" s="46" t="s">
        <v>29</v>
      </c>
      <c r="CV29" s="46" t="s">
        <v>23</v>
      </c>
      <c r="CW29" s="46" t="s">
        <v>23</v>
      </c>
      <c r="CX29" s="49" t="s">
        <v>561</v>
      </c>
      <c r="CY29" s="49" t="s">
        <v>59</v>
      </c>
      <c r="CZ29" s="49">
        <v>0</v>
      </c>
      <c r="DA29" s="49">
        <v>0</v>
      </c>
      <c r="DB29" s="64">
        <v>156315</v>
      </c>
      <c r="DC29" s="58">
        <v>57.66</v>
      </c>
      <c r="DD29" s="58">
        <v>3.02</v>
      </c>
      <c r="DE29" s="58">
        <v>23.97</v>
      </c>
      <c r="DF29" s="58">
        <v>11.88</v>
      </c>
      <c r="DG29" s="58">
        <v>3.4699999999999953</v>
      </c>
      <c r="DH29" s="58">
        <v>42.34</v>
      </c>
      <c r="DI29" s="45" t="s">
        <v>29</v>
      </c>
      <c r="DJ29" s="59" t="str">
        <f t="shared" si="11"/>
        <v>N/A</v>
      </c>
      <c r="DK29" s="65">
        <v>156315</v>
      </c>
      <c r="DL29" s="58">
        <v>57.66</v>
      </c>
      <c r="DM29" s="58">
        <v>3.02</v>
      </c>
      <c r="DN29" s="58">
        <v>23.97</v>
      </c>
      <c r="DO29" s="58">
        <v>42.34</v>
      </c>
      <c r="DP29" s="66">
        <v>50</v>
      </c>
      <c r="DQ29" s="67">
        <v>64782.080000000002</v>
      </c>
      <c r="DR29" s="53">
        <v>14.1</v>
      </c>
      <c r="DS29" s="58">
        <v>64.400000000000006</v>
      </c>
      <c r="DT29" s="53">
        <v>50</v>
      </c>
      <c r="DU29" s="55">
        <v>3.34</v>
      </c>
      <c r="DV29" s="102">
        <v>30.3</v>
      </c>
      <c r="DW29" s="53">
        <v>69.3</v>
      </c>
      <c r="DX29" s="53">
        <v>73.712999999999994</v>
      </c>
      <c r="DY29" s="53">
        <v>45.352200000000003</v>
      </c>
      <c r="DZ29" s="63"/>
    </row>
    <row r="30" spans="1:130" s="5" customFormat="1" ht="14.25" hidden="1" customHeight="1">
      <c r="A30" s="45">
        <v>1034</v>
      </c>
      <c r="B30" s="46" t="s">
        <v>52</v>
      </c>
      <c r="C30" s="47">
        <v>2004</v>
      </c>
      <c r="D30" s="47" t="s">
        <v>21</v>
      </c>
      <c r="E30" s="46" t="s">
        <v>22</v>
      </c>
      <c r="F30" s="46">
        <v>4</v>
      </c>
      <c r="G30" s="48">
        <v>16000</v>
      </c>
      <c r="H30" s="46" t="s">
        <v>332</v>
      </c>
      <c r="I30" s="46">
        <v>2</v>
      </c>
      <c r="J30" s="46">
        <v>13</v>
      </c>
      <c r="K30" s="49" t="s">
        <v>63</v>
      </c>
      <c r="L30" s="49" t="s">
        <v>30</v>
      </c>
      <c r="M30" s="49" t="s">
        <v>29</v>
      </c>
      <c r="N30" s="49" t="s">
        <v>512</v>
      </c>
      <c r="O30" s="49"/>
      <c r="P30" s="49" t="s">
        <v>34</v>
      </c>
      <c r="Q30" s="49" t="s">
        <v>35</v>
      </c>
      <c r="R30" s="49">
        <v>4</v>
      </c>
      <c r="S30" s="50">
        <f t="shared" si="0"/>
        <v>30.76923076923077</v>
      </c>
      <c r="T30" s="49">
        <v>4</v>
      </c>
      <c r="U30" s="50">
        <f t="shared" si="1"/>
        <v>30.76923076923077</v>
      </c>
      <c r="V30" s="49" t="s">
        <v>859</v>
      </c>
      <c r="W30" s="49">
        <v>1</v>
      </c>
      <c r="X30" s="50">
        <f t="shared" si="2"/>
        <v>7.6923076923076925</v>
      </c>
      <c r="Y30" s="51" t="str">
        <f t="shared" si="3"/>
        <v>No</v>
      </c>
      <c r="Z30" s="49" t="s">
        <v>35</v>
      </c>
      <c r="AA30" s="49" t="s">
        <v>23</v>
      </c>
      <c r="AB30" s="49" t="s">
        <v>23</v>
      </c>
      <c r="AC30" s="46" t="s">
        <v>26</v>
      </c>
      <c r="AD30" s="46" t="s">
        <v>27</v>
      </c>
      <c r="AE30" s="46" t="s">
        <v>155</v>
      </c>
      <c r="AF30" s="46" t="s">
        <v>29</v>
      </c>
      <c r="AG30" s="103">
        <v>172562</v>
      </c>
      <c r="AH30" s="52">
        <f>SUM(24856+24242+19044+15819+10451+10421+8152+7243+5068+2206+1807+1496+1137)</f>
        <v>131942</v>
      </c>
      <c r="AI30" s="52">
        <f>SUM(24856+24242+19044+15819+10451+10421+8152+7243+5068+2206+1807+1496+1137)</f>
        <v>131942</v>
      </c>
      <c r="AJ30" s="102">
        <v>18.399999999999999</v>
      </c>
      <c r="AK30" s="104">
        <v>55.199999999999996</v>
      </c>
      <c r="AL30" s="102">
        <v>18.399999999999999</v>
      </c>
      <c r="AM30" s="102"/>
      <c r="AN30" s="53">
        <f t="shared" si="4"/>
        <v>55.199999999999996</v>
      </c>
      <c r="AO30" s="53">
        <v>14.4</v>
      </c>
      <c r="AP30" s="102">
        <f t="shared" si="12"/>
        <v>40620</v>
      </c>
      <c r="AQ30" s="102">
        <f t="shared" si="13"/>
        <v>23.53936556136345</v>
      </c>
      <c r="AR30" s="102"/>
      <c r="AS30" s="102"/>
      <c r="AT30" s="102"/>
      <c r="AU30" s="102"/>
      <c r="AV30" s="102"/>
      <c r="AW30" s="102"/>
      <c r="AX30" s="102"/>
      <c r="AY30" s="102"/>
      <c r="AZ30" s="102"/>
      <c r="BA30" s="102"/>
      <c r="BB30" s="102"/>
      <c r="BC30" s="102"/>
      <c r="BD30" s="102"/>
      <c r="BE30" s="102"/>
      <c r="BF30" s="102"/>
      <c r="BG30" s="102"/>
      <c r="BH30" s="102"/>
      <c r="BI30" s="102"/>
      <c r="BJ30" s="102"/>
      <c r="BK30" s="102"/>
      <c r="BL30" s="102"/>
      <c r="BM30" s="102"/>
      <c r="BN30" s="102"/>
      <c r="BO30" s="102"/>
      <c r="BP30" s="102"/>
      <c r="BQ30" s="102"/>
      <c r="BR30" s="102"/>
      <c r="BS30" s="54" t="s">
        <v>23</v>
      </c>
      <c r="BT30" s="45" t="str">
        <f t="shared" si="5"/>
        <v>Yes</v>
      </c>
      <c r="BU30" s="45" t="str">
        <f t="shared" si="6"/>
        <v>Yes</v>
      </c>
      <c r="BV30" s="45" t="str">
        <f t="shared" si="7"/>
        <v>No</v>
      </c>
      <c r="BW30" s="55">
        <f t="shared" ref="BW30:BX34" si="15">(34598/(34598+48914))*100</f>
        <v>41.428776702749303</v>
      </c>
      <c r="BX30" s="55">
        <f t="shared" si="15"/>
        <v>41.428776702749303</v>
      </c>
      <c r="BY30" s="55">
        <v>42.6587767027493</v>
      </c>
      <c r="BZ30" s="55">
        <f>BX30-(-0.0246*100/2)</f>
        <v>42.6587767027493</v>
      </c>
      <c r="CA30" s="45">
        <v>2004</v>
      </c>
      <c r="CB30" s="55">
        <f t="shared" si="9"/>
        <v>42.203883184595206</v>
      </c>
      <c r="CC30" s="46" t="s">
        <v>178</v>
      </c>
      <c r="CD30" s="46" t="s">
        <v>179</v>
      </c>
      <c r="CE30" s="46" t="s">
        <v>179</v>
      </c>
      <c r="CF30" s="46">
        <v>1</v>
      </c>
      <c r="CG30" s="46" t="str">
        <f t="shared" si="10"/>
        <v>No</v>
      </c>
      <c r="CH30" s="46" t="s">
        <v>35</v>
      </c>
      <c r="CI30" s="56">
        <v>25</v>
      </c>
      <c r="CJ30" s="46">
        <v>20</v>
      </c>
      <c r="CK30" s="46">
        <v>100</v>
      </c>
      <c r="CL30" s="49" t="s">
        <v>29</v>
      </c>
      <c r="CM30" s="50">
        <v>0</v>
      </c>
      <c r="CN30" s="50"/>
      <c r="CO30" s="50"/>
      <c r="CP30" s="46" t="s">
        <v>23</v>
      </c>
      <c r="CQ30" s="46" t="s">
        <v>24</v>
      </c>
      <c r="CR30" s="46">
        <v>5</v>
      </c>
      <c r="CS30" s="46" t="s">
        <v>854</v>
      </c>
      <c r="CT30" s="46" t="s">
        <v>53</v>
      </c>
      <c r="CU30" s="46" t="s">
        <v>29</v>
      </c>
      <c r="CV30" s="46" t="s">
        <v>23</v>
      </c>
      <c r="CW30" s="46" t="s">
        <v>23</v>
      </c>
      <c r="CX30" s="49" t="s">
        <v>561</v>
      </c>
      <c r="CY30" s="49" t="s">
        <v>59</v>
      </c>
      <c r="CZ30" s="49">
        <v>0</v>
      </c>
      <c r="DA30" s="49">
        <v>0</v>
      </c>
      <c r="DB30" s="64">
        <v>156315</v>
      </c>
      <c r="DC30" s="58">
        <v>57.66</v>
      </c>
      <c r="DD30" s="58">
        <v>3.02</v>
      </c>
      <c r="DE30" s="58">
        <v>23.97</v>
      </c>
      <c r="DF30" s="58">
        <v>11.88</v>
      </c>
      <c r="DG30" s="58">
        <v>3.4699999999999953</v>
      </c>
      <c r="DH30" s="58">
        <v>42.34</v>
      </c>
      <c r="DI30" s="45" t="s">
        <v>29</v>
      </c>
      <c r="DJ30" s="59" t="str">
        <f t="shared" si="11"/>
        <v>N/A</v>
      </c>
      <c r="DK30" s="65">
        <v>156315</v>
      </c>
      <c r="DL30" s="58">
        <v>57.66</v>
      </c>
      <c r="DM30" s="58">
        <v>3.02</v>
      </c>
      <c r="DN30" s="58">
        <v>23.97</v>
      </c>
      <c r="DO30" s="58">
        <v>42.34</v>
      </c>
      <c r="DP30" s="66">
        <v>50</v>
      </c>
      <c r="DQ30" s="67">
        <v>64782.080000000002</v>
      </c>
      <c r="DR30" s="53">
        <v>14.1</v>
      </c>
      <c r="DS30" s="58">
        <v>64.400000000000006</v>
      </c>
      <c r="DT30" s="53">
        <v>50</v>
      </c>
      <c r="DU30" s="55">
        <v>3.34</v>
      </c>
      <c r="DV30" s="102">
        <v>30.3</v>
      </c>
      <c r="DW30" s="53">
        <v>69.3</v>
      </c>
      <c r="DX30" s="53">
        <v>73.712999999999994</v>
      </c>
      <c r="DY30" s="53">
        <v>45.352200000000003</v>
      </c>
      <c r="DZ30" s="63"/>
    </row>
    <row r="31" spans="1:130" s="5" customFormat="1" ht="14.25" hidden="1" customHeight="1">
      <c r="A31" s="45">
        <v>1035</v>
      </c>
      <c r="B31" s="46" t="s">
        <v>52</v>
      </c>
      <c r="C31" s="47">
        <v>2004</v>
      </c>
      <c r="D31" s="47" t="s">
        <v>21</v>
      </c>
      <c r="E31" s="46" t="s">
        <v>22</v>
      </c>
      <c r="F31" s="46">
        <v>4</v>
      </c>
      <c r="G31" s="48">
        <v>16000</v>
      </c>
      <c r="H31" s="46" t="s">
        <v>332</v>
      </c>
      <c r="I31" s="46">
        <v>2</v>
      </c>
      <c r="J31" s="46">
        <v>13</v>
      </c>
      <c r="K31" s="49" t="s">
        <v>64</v>
      </c>
      <c r="L31" s="49" t="s">
        <v>40</v>
      </c>
      <c r="M31" s="49" t="s">
        <v>35</v>
      </c>
      <c r="N31" s="49" t="s">
        <v>512</v>
      </c>
      <c r="O31" s="49"/>
      <c r="P31" s="49" t="s">
        <v>34</v>
      </c>
      <c r="Q31" s="49" t="s">
        <v>35</v>
      </c>
      <c r="R31" s="49">
        <v>4</v>
      </c>
      <c r="S31" s="50">
        <f t="shared" si="0"/>
        <v>30.76923076923077</v>
      </c>
      <c r="T31" s="49">
        <v>4</v>
      </c>
      <c r="U31" s="50">
        <f t="shared" si="1"/>
        <v>30.76923076923077</v>
      </c>
      <c r="V31" s="49" t="s">
        <v>859</v>
      </c>
      <c r="W31" s="49">
        <v>1</v>
      </c>
      <c r="X31" s="50">
        <f t="shared" si="2"/>
        <v>7.6923076923076925</v>
      </c>
      <c r="Y31" s="51" t="str">
        <f t="shared" si="3"/>
        <v>Yes</v>
      </c>
      <c r="Z31" s="49" t="s">
        <v>35</v>
      </c>
      <c r="AA31" s="49" t="s">
        <v>23</v>
      </c>
      <c r="AB31" s="49" t="s">
        <v>23</v>
      </c>
      <c r="AC31" s="46" t="s">
        <v>26</v>
      </c>
      <c r="AD31" s="46" t="s">
        <v>27</v>
      </c>
      <c r="AE31" s="46" t="s">
        <v>155</v>
      </c>
      <c r="AF31" s="46" t="s">
        <v>29</v>
      </c>
      <c r="AG31" s="103">
        <v>172562</v>
      </c>
      <c r="AH31" s="52">
        <f>SUM(24856+24242+19044+15819+10451+10421+8152+7243+5068+2206+1807+1496+1137)</f>
        <v>131942</v>
      </c>
      <c r="AI31" s="52">
        <f>SUM(24856+24242+19044+15819+10451+10421+8152+7243+5068+2206+1807+1496+1137)</f>
        <v>131942</v>
      </c>
      <c r="AJ31" s="102">
        <v>18.8</v>
      </c>
      <c r="AK31" s="104">
        <v>56.400000000000006</v>
      </c>
      <c r="AL31" s="102">
        <v>18.8</v>
      </c>
      <c r="AM31" s="102"/>
      <c r="AN31" s="53">
        <f t="shared" si="4"/>
        <v>56.400000000000006</v>
      </c>
      <c r="AO31" s="53">
        <v>14.4</v>
      </c>
      <c r="AP31" s="102">
        <f t="shared" si="12"/>
        <v>40620</v>
      </c>
      <c r="AQ31" s="102">
        <f t="shared" si="13"/>
        <v>23.53936556136345</v>
      </c>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54" t="s">
        <v>23</v>
      </c>
      <c r="BT31" s="45" t="str">
        <f t="shared" si="5"/>
        <v>Yes</v>
      </c>
      <c r="BU31" s="45" t="str">
        <f t="shared" si="6"/>
        <v>Yes</v>
      </c>
      <c r="BV31" s="45" t="str">
        <f t="shared" si="7"/>
        <v>No</v>
      </c>
      <c r="BW31" s="55">
        <f t="shared" si="15"/>
        <v>41.428776702749303</v>
      </c>
      <c r="BX31" s="55">
        <f t="shared" si="15"/>
        <v>41.428776702749303</v>
      </c>
      <c r="BY31" s="55">
        <v>42.6587767027493</v>
      </c>
      <c r="BZ31" s="55">
        <f>BX31-(-0.0246*100/2)</f>
        <v>42.6587767027493</v>
      </c>
      <c r="CA31" s="45">
        <v>2004</v>
      </c>
      <c r="CB31" s="55">
        <f t="shared" si="9"/>
        <v>42.203883184595206</v>
      </c>
      <c r="CC31" s="46" t="s">
        <v>178</v>
      </c>
      <c r="CD31" s="46" t="s">
        <v>179</v>
      </c>
      <c r="CE31" s="46" t="s">
        <v>179</v>
      </c>
      <c r="CF31" s="46">
        <v>1</v>
      </c>
      <c r="CG31" s="46" t="str">
        <f t="shared" si="10"/>
        <v>No</v>
      </c>
      <c r="CH31" s="46" t="s">
        <v>35</v>
      </c>
      <c r="CI31" s="56">
        <v>25</v>
      </c>
      <c r="CJ31" s="46">
        <v>20</v>
      </c>
      <c r="CK31" s="46">
        <v>100</v>
      </c>
      <c r="CL31" s="49" t="s">
        <v>29</v>
      </c>
      <c r="CM31" s="50">
        <v>0</v>
      </c>
      <c r="CN31" s="50"/>
      <c r="CO31" s="50"/>
      <c r="CP31" s="46" t="s">
        <v>23</v>
      </c>
      <c r="CQ31" s="46" t="s">
        <v>24</v>
      </c>
      <c r="CR31" s="46">
        <v>5</v>
      </c>
      <c r="CS31" s="46" t="s">
        <v>854</v>
      </c>
      <c r="CT31" s="46" t="s">
        <v>53</v>
      </c>
      <c r="CU31" s="46" t="s">
        <v>29</v>
      </c>
      <c r="CV31" s="46" t="s">
        <v>23</v>
      </c>
      <c r="CW31" s="46" t="s">
        <v>23</v>
      </c>
      <c r="CX31" s="49" t="s">
        <v>561</v>
      </c>
      <c r="CY31" s="49" t="s">
        <v>59</v>
      </c>
      <c r="CZ31" s="49">
        <v>0</v>
      </c>
      <c r="DA31" s="49">
        <v>0</v>
      </c>
      <c r="DB31" s="64">
        <v>156315</v>
      </c>
      <c r="DC31" s="58">
        <v>57.66</v>
      </c>
      <c r="DD31" s="58">
        <v>3.02</v>
      </c>
      <c r="DE31" s="58">
        <v>23.97</v>
      </c>
      <c r="DF31" s="58">
        <v>11.88</v>
      </c>
      <c r="DG31" s="58">
        <v>3.4699999999999953</v>
      </c>
      <c r="DH31" s="58">
        <v>42.34</v>
      </c>
      <c r="DI31" s="45" t="s">
        <v>29</v>
      </c>
      <c r="DJ31" s="59" t="str">
        <f t="shared" si="11"/>
        <v>N/A</v>
      </c>
      <c r="DK31" s="65">
        <v>156315</v>
      </c>
      <c r="DL31" s="58">
        <v>57.66</v>
      </c>
      <c r="DM31" s="58">
        <v>3.02</v>
      </c>
      <c r="DN31" s="58">
        <v>23.97</v>
      </c>
      <c r="DO31" s="58">
        <v>42.34</v>
      </c>
      <c r="DP31" s="66">
        <v>50</v>
      </c>
      <c r="DQ31" s="67">
        <v>64782.080000000002</v>
      </c>
      <c r="DR31" s="53">
        <v>14.1</v>
      </c>
      <c r="DS31" s="58">
        <v>64.400000000000006</v>
      </c>
      <c r="DT31" s="53">
        <v>50</v>
      </c>
      <c r="DU31" s="55">
        <v>3.34</v>
      </c>
      <c r="DV31" s="102">
        <v>30.3</v>
      </c>
      <c r="DW31" s="53">
        <v>69.3</v>
      </c>
      <c r="DX31" s="53">
        <v>73.712999999999994</v>
      </c>
      <c r="DY31" s="53">
        <v>45.352200000000003</v>
      </c>
      <c r="DZ31" s="63"/>
    </row>
    <row r="32" spans="1:130" s="5" customFormat="1" ht="14.25" hidden="1" customHeight="1">
      <c r="A32" s="45">
        <v>1031</v>
      </c>
      <c r="B32" s="46" t="s">
        <v>52</v>
      </c>
      <c r="C32" s="47">
        <v>2006</v>
      </c>
      <c r="D32" s="47" t="s">
        <v>21</v>
      </c>
      <c r="E32" s="46" t="s">
        <v>22</v>
      </c>
      <c r="F32" s="46">
        <v>4</v>
      </c>
      <c r="G32" s="48">
        <v>17000</v>
      </c>
      <c r="H32" s="46" t="s">
        <v>332</v>
      </c>
      <c r="I32" s="46">
        <v>2</v>
      </c>
      <c r="J32" s="46">
        <v>7</v>
      </c>
      <c r="K32" s="49" t="s">
        <v>60</v>
      </c>
      <c r="L32" s="49" t="s">
        <v>40</v>
      </c>
      <c r="M32" s="49" t="s">
        <v>35</v>
      </c>
      <c r="N32" s="49" t="s">
        <v>618</v>
      </c>
      <c r="O32" s="49"/>
      <c r="P32" s="49" t="s">
        <v>31</v>
      </c>
      <c r="Q32" s="49" t="s">
        <v>29</v>
      </c>
      <c r="R32" s="49">
        <v>1</v>
      </c>
      <c r="S32" s="50">
        <f t="shared" si="0"/>
        <v>14.285714285714285</v>
      </c>
      <c r="T32" s="49">
        <v>1</v>
      </c>
      <c r="U32" s="50">
        <f t="shared" si="1"/>
        <v>14.285714285714285</v>
      </c>
      <c r="V32" s="49" t="s">
        <v>789</v>
      </c>
      <c r="W32" s="49">
        <v>0</v>
      </c>
      <c r="X32" s="50">
        <f t="shared" si="2"/>
        <v>0</v>
      </c>
      <c r="Y32" s="51" t="str">
        <f t="shared" si="3"/>
        <v>No</v>
      </c>
      <c r="Z32" s="49" t="s">
        <v>29</v>
      </c>
      <c r="AA32" s="49" t="s">
        <v>35</v>
      </c>
      <c r="AB32" s="49" t="s">
        <v>29</v>
      </c>
      <c r="AC32" s="46" t="s">
        <v>26</v>
      </c>
      <c r="AD32" s="46" t="s">
        <v>27</v>
      </c>
      <c r="AE32" s="46" t="s">
        <v>73</v>
      </c>
      <c r="AF32" s="46" t="s">
        <v>29</v>
      </c>
      <c r="AG32" s="103">
        <v>118084</v>
      </c>
      <c r="AH32" s="52">
        <v>90022</v>
      </c>
      <c r="AI32" s="52">
        <v>90022</v>
      </c>
      <c r="AJ32" s="102">
        <v>24.2</v>
      </c>
      <c r="AK32" s="104">
        <v>72.600000000000009</v>
      </c>
      <c r="AL32" s="102">
        <v>24.2</v>
      </c>
      <c r="AM32" s="102"/>
      <c r="AN32" s="53">
        <f t="shared" si="4"/>
        <v>72.600000000000009</v>
      </c>
      <c r="AO32" s="53">
        <v>24</v>
      </c>
      <c r="AP32" s="102">
        <f t="shared" si="12"/>
        <v>28062</v>
      </c>
      <c r="AQ32" s="102">
        <f t="shared" si="13"/>
        <v>23.764438874021881</v>
      </c>
      <c r="AR32" s="102"/>
      <c r="AS32" s="102"/>
      <c r="AT32" s="102"/>
      <c r="AU32" s="102"/>
      <c r="AV32" s="102"/>
      <c r="AW32" s="102"/>
      <c r="AX32" s="102"/>
      <c r="AY32" s="102"/>
      <c r="AZ32" s="102"/>
      <c r="BA32" s="102"/>
      <c r="BB32" s="102"/>
      <c r="BC32" s="102"/>
      <c r="BD32" s="102"/>
      <c r="BE32" s="102"/>
      <c r="BF32" s="102"/>
      <c r="BG32" s="102"/>
      <c r="BH32" s="102"/>
      <c r="BI32" s="102"/>
      <c r="BJ32" s="102"/>
      <c r="BK32" s="102"/>
      <c r="BL32" s="102"/>
      <c r="BM32" s="102"/>
      <c r="BN32" s="102"/>
      <c r="BO32" s="102"/>
      <c r="BP32" s="102"/>
      <c r="BQ32" s="102"/>
      <c r="BR32" s="102"/>
      <c r="BS32" s="54" t="s">
        <v>23</v>
      </c>
      <c r="BT32" s="45" t="str">
        <f t="shared" si="5"/>
        <v>Yes</v>
      </c>
      <c r="BU32" s="45" t="str">
        <f t="shared" si="6"/>
        <v>Yes</v>
      </c>
      <c r="BV32" s="45" t="str">
        <f t="shared" si="7"/>
        <v>Yes</v>
      </c>
      <c r="BW32" s="55">
        <f t="shared" si="15"/>
        <v>41.428776702749303</v>
      </c>
      <c r="BX32" s="55">
        <f t="shared" si="15"/>
        <v>41.428776702749303</v>
      </c>
      <c r="BY32" s="55">
        <v>42.6587767027493</v>
      </c>
      <c r="BZ32" s="55">
        <f>BX32-(-0.0246*100/2)</f>
        <v>42.6587767027493</v>
      </c>
      <c r="CA32" s="45">
        <v>2004</v>
      </c>
      <c r="CB32" s="55">
        <f t="shared" si="9"/>
        <v>27.550726855394032</v>
      </c>
      <c r="CC32" s="46" t="s">
        <v>178</v>
      </c>
      <c r="CD32" s="46" t="s">
        <v>179</v>
      </c>
      <c r="CE32" s="46" t="s">
        <v>179</v>
      </c>
      <c r="CF32" s="46">
        <v>1</v>
      </c>
      <c r="CG32" s="46" t="str">
        <f t="shared" si="10"/>
        <v>No</v>
      </c>
      <c r="CH32" s="46" t="s">
        <v>35</v>
      </c>
      <c r="CI32" s="56">
        <v>25</v>
      </c>
      <c r="CJ32" s="46">
        <v>20</v>
      </c>
      <c r="CK32" s="46">
        <v>100</v>
      </c>
      <c r="CL32" s="49" t="s">
        <v>29</v>
      </c>
      <c r="CM32" s="50">
        <v>0</v>
      </c>
      <c r="CN32" s="50"/>
      <c r="CO32" s="50"/>
      <c r="CP32" s="46" t="s">
        <v>23</v>
      </c>
      <c r="CQ32" s="46" t="s">
        <v>24</v>
      </c>
      <c r="CR32" s="46">
        <v>5</v>
      </c>
      <c r="CS32" s="46" t="s">
        <v>854</v>
      </c>
      <c r="CT32" s="46" t="s">
        <v>53</v>
      </c>
      <c r="CU32" s="46" t="s">
        <v>29</v>
      </c>
      <c r="CV32" s="46" t="s">
        <v>23</v>
      </c>
      <c r="CW32" s="46" t="s">
        <v>23</v>
      </c>
      <c r="CX32" s="49" t="s">
        <v>560</v>
      </c>
      <c r="CY32" s="49" t="s">
        <v>59</v>
      </c>
      <c r="CZ32" s="49">
        <v>0</v>
      </c>
      <c r="DA32" s="49">
        <v>0</v>
      </c>
      <c r="DB32" s="68">
        <v>163375</v>
      </c>
      <c r="DC32" s="58">
        <v>48.29</v>
      </c>
      <c r="DD32" s="58">
        <v>3.45</v>
      </c>
      <c r="DE32" s="58">
        <v>30.36</v>
      </c>
      <c r="DF32" s="58">
        <v>15.790000000000001</v>
      </c>
      <c r="DG32" s="58">
        <v>2.1100000000000008</v>
      </c>
      <c r="DH32" s="58">
        <v>51.71</v>
      </c>
      <c r="DI32" s="45" t="s">
        <v>35</v>
      </c>
      <c r="DJ32" s="59" t="str">
        <f t="shared" si="11"/>
        <v>No single majority group</v>
      </c>
      <c r="DK32" s="69">
        <v>163375</v>
      </c>
      <c r="DL32" s="58">
        <v>48.29</v>
      </c>
      <c r="DM32" s="58">
        <v>3.45</v>
      </c>
      <c r="DN32" s="58">
        <v>30.36</v>
      </c>
      <c r="DO32" s="58">
        <v>51.71</v>
      </c>
      <c r="DP32" s="66">
        <v>49.4</v>
      </c>
      <c r="DQ32" s="67">
        <v>63858.04</v>
      </c>
      <c r="DR32" s="53">
        <v>13</v>
      </c>
      <c r="DS32" s="58">
        <v>71.5</v>
      </c>
      <c r="DT32" s="53">
        <v>48.9</v>
      </c>
      <c r="DU32" s="55">
        <v>3.42</v>
      </c>
      <c r="DV32" s="102">
        <v>31.5</v>
      </c>
      <c r="DW32" s="53">
        <v>72.599999999999994</v>
      </c>
      <c r="DX32" s="53">
        <v>90.35</v>
      </c>
      <c r="DY32" s="53">
        <v>61.970399999999998</v>
      </c>
      <c r="DZ32" s="63"/>
    </row>
    <row r="33" spans="1:130" s="5" customFormat="1" ht="14.25" hidden="1" customHeight="1">
      <c r="A33" s="45">
        <v>1032</v>
      </c>
      <c r="B33" s="46" t="s">
        <v>52</v>
      </c>
      <c r="C33" s="47">
        <v>2006</v>
      </c>
      <c r="D33" s="47" t="s">
        <v>21</v>
      </c>
      <c r="E33" s="46" t="s">
        <v>22</v>
      </c>
      <c r="F33" s="46">
        <v>4</v>
      </c>
      <c r="G33" s="48">
        <v>17000</v>
      </c>
      <c r="H33" s="46" t="s">
        <v>332</v>
      </c>
      <c r="I33" s="46">
        <v>2</v>
      </c>
      <c r="J33" s="46">
        <v>7</v>
      </c>
      <c r="K33" s="49" t="s">
        <v>65</v>
      </c>
      <c r="L33" s="49" t="s">
        <v>30</v>
      </c>
      <c r="M33" s="49" t="s">
        <v>29</v>
      </c>
      <c r="N33" s="49" t="s">
        <v>513</v>
      </c>
      <c r="O33" s="49"/>
      <c r="P33" s="49" t="s">
        <v>31</v>
      </c>
      <c r="Q33" s="49" t="s">
        <v>29</v>
      </c>
      <c r="R33" s="49">
        <v>1</v>
      </c>
      <c r="S33" s="50">
        <f t="shared" si="0"/>
        <v>14.285714285714285</v>
      </c>
      <c r="T33" s="49">
        <v>1</v>
      </c>
      <c r="U33" s="50">
        <f t="shared" si="1"/>
        <v>14.285714285714285</v>
      </c>
      <c r="V33" s="49" t="s">
        <v>789</v>
      </c>
      <c r="W33" s="49">
        <v>0</v>
      </c>
      <c r="X33" s="50">
        <f t="shared" si="2"/>
        <v>0</v>
      </c>
      <c r="Y33" s="51" t="str">
        <f t="shared" si="3"/>
        <v>No</v>
      </c>
      <c r="Z33" s="49" t="s">
        <v>29</v>
      </c>
      <c r="AA33" s="49" t="s">
        <v>29</v>
      </c>
      <c r="AB33" s="49" t="s">
        <v>29</v>
      </c>
      <c r="AC33" s="46" t="s">
        <v>26</v>
      </c>
      <c r="AD33" s="46" t="s">
        <v>27</v>
      </c>
      <c r="AE33" s="46" t="s">
        <v>73</v>
      </c>
      <c r="AF33" s="46" t="s">
        <v>29</v>
      </c>
      <c r="AG33" s="120">
        <v>118084</v>
      </c>
      <c r="AH33" s="52">
        <v>90022</v>
      </c>
      <c r="AI33" s="52">
        <v>90022</v>
      </c>
      <c r="AJ33" s="102">
        <v>24.3</v>
      </c>
      <c r="AK33" s="104">
        <v>72.900000000000006</v>
      </c>
      <c r="AL33" s="102">
        <v>24.3</v>
      </c>
      <c r="AM33" s="102"/>
      <c r="AN33" s="53">
        <f t="shared" si="4"/>
        <v>72.900000000000006</v>
      </c>
      <c r="AO33" s="53">
        <v>24</v>
      </c>
      <c r="AP33" s="102">
        <f t="shared" si="12"/>
        <v>28062</v>
      </c>
      <c r="AQ33" s="102">
        <f t="shared" si="13"/>
        <v>23.764438874021881</v>
      </c>
      <c r="AR33" s="102"/>
      <c r="AS33" s="102"/>
      <c r="AT33" s="102"/>
      <c r="AU33" s="102"/>
      <c r="AV33" s="102"/>
      <c r="AW33" s="102"/>
      <c r="AX33" s="102"/>
      <c r="AY33" s="102"/>
      <c r="AZ33" s="102"/>
      <c r="BA33" s="102"/>
      <c r="BB33" s="102"/>
      <c r="BC33" s="102"/>
      <c r="BD33" s="102"/>
      <c r="BE33" s="102"/>
      <c r="BF33" s="102"/>
      <c r="BG33" s="102"/>
      <c r="BH33" s="102"/>
      <c r="BI33" s="102"/>
      <c r="BJ33" s="102"/>
      <c r="BK33" s="102"/>
      <c r="BL33" s="102"/>
      <c r="BM33" s="102"/>
      <c r="BN33" s="102"/>
      <c r="BO33" s="102"/>
      <c r="BP33" s="102"/>
      <c r="BQ33" s="102"/>
      <c r="BR33" s="102"/>
      <c r="BS33" s="54" t="s">
        <v>23</v>
      </c>
      <c r="BT33" s="45" t="str">
        <f t="shared" si="5"/>
        <v>Yes</v>
      </c>
      <c r="BU33" s="45" t="str">
        <f t="shared" si="6"/>
        <v>Yes</v>
      </c>
      <c r="BV33" s="45" t="str">
        <f t="shared" si="7"/>
        <v>Yes</v>
      </c>
      <c r="BW33" s="55">
        <f t="shared" si="15"/>
        <v>41.428776702749303</v>
      </c>
      <c r="BX33" s="55">
        <f t="shared" si="15"/>
        <v>41.428776702749303</v>
      </c>
      <c r="BY33" s="55">
        <v>42.6587767027493</v>
      </c>
      <c r="BZ33" s="55">
        <f>BX33-(-0.0246*100/2)</f>
        <v>42.6587767027493</v>
      </c>
      <c r="CA33" s="45">
        <v>2004</v>
      </c>
      <c r="CB33" s="55">
        <f t="shared" si="9"/>
        <v>27.550726855394032</v>
      </c>
      <c r="CC33" s="46" t="s">
        <v>178</v>
      </c>
      <c r="CD33" s="46" t="s">
        <v>179</v>
      </c>
      <c r="CE33" s="46" t="s">
        <v>179</v>
      </c>
      <c r="CF33" s="46">
        <v>1</v>
      </c>
      <c r="CG33" s="46" t="str">
        <f t="shared" si="10"/>
        <v>No</v>
      </c>
      <c r="CH33" s="46" t="s">
        <v>35</v>
      </c>
      <c r="CI33" s="56">
        <v>25</v>
      </c>
      <c r="CJ33" s="46">
        <v>20</v>
      </c>
      <c r="CK33" s="46">
        <v>100</v>
      </c>
      <c r="CL33" s="49" t="s">
        <v>29</v>
      </c>
      <c r="CM33" s="50">
        <v>0</v>
      </c>
      <c r="CN33" s="50"/>
      <c r="CO33" s="50"/>
      <c r="CP33" s="46" t="s">
        <v>23</v>
      </c>
      <c r="CQ33" s="46" t="s">
        <v>24</v>
      </c>
      <c r="CR33" s="46">
        <v>5</v>
      </c>
      <c r="CS33" s="46" t="s">
        <v>854</v>
      </c>
      <c r="CT33" s="46" t="s">
        <v>53</v>
      </c>
      <c r="CU33" s="46" t="s">
        <v>29</v>
      </c>
      <c r="CV33" s="46" t="s">
        <v>23</v>
      </c>
      <c r="CW33" s="46" t="s">
        <v>23</v>
      </c>
      <c r="CX33" s="49" t="s">
        <v>560</v>
      </c>
      <c r="CY33" s="49" t="s">
        <v>59</v>
      </c>
      <c r="CZ33" s="49">
        <v>0</v>
      </c>
      <c r="DA33" s="49">
        <v>0</v>
      </c>
      <c r="DB33" s="68">
        <v>163375</v>
      </c>
      <c r="DC33" s="58">
        <v>48.29</v>
      </c>
      <c r="DD33" s="58">
        <v>3.45</v>
      </c>
      <c r="DE33" s="58">
        <v>30.36</v>
      </c>
      <c r="DF33" s="58">
        <v>15.790000000000001</v>
      </c>
      <c r="DG33" s="58">
        <v>2.1100000000000008</v>
      </c>
      <c r="DH33" s="58">
        <v>51.71</v>
      </c>
      <c r="DI33" s="45" t="s">
        <v>35</v>
      </c>
      <c r="DJ33" s="59" t="str">
        <f t="shared" si="11"/>
        <v>No single majority group</v>
      </c>
      <c r="DK33" s="69">
        <v>163375</v>
      </c>
      <c r="DL33" s="58">
        <v>48.29</v>
      </c>
      <c r="DM33" s="58">
        <v>3.45</v>
      </c>
      <c r="DN33" s="58">
        <v>30.36</v>
      </c>
      <c r="DO33" s="58">
        <v>51.71</v>
      </c>
      <c r="DP33" s="66">
        <v>49.4</v>
      </c>
      <c r="DQ33" s="67">
        <v>63858.04</v>
      </c>
      <c r="DR33" s="53">
        <v>13</v>
      </c>
      <c r="DS33" s="58">
        <v>71.5</v>
      </c>
      <c r="DT33" s="53">
        <v>48.9</v>
      </c>
      <c r="DU33" s="55">
        <v>3.42</v>
      </c>
      <c r="DV33" s="102">
        <v>31.5</v>
      </c>
      <c r="DW33" s="53">
        <v>72.599999999999994</v>
      </c>
      <c r="DX33" s="53">
        <v>90.35</v>
      </c>
      <c r="DY33" s="53">
        <v>61.970399999999998</v>
      </c>
      <c r="DZ33" s="63"/>
    </row>
    <row r="34" spans="1:130" s="5" customFormat="1" ht="14.25" hidden="1" customHeight="1">
      <c r="A34" s="45">
        <v>1033</v>
      </c>
      <c r="B34" s="46" t="s">
        <v>52</v>
      </c>
      <c r="C34" s="47">
        <v>2006</v>
      </c>
      <c r="D34" s="47" t="s">
        <v>38</v>
      </c>
      <c r="E34" s="46" t="s">
        <v>22</v>
      </c>
      <c r="F34" s="46">
        <v>4</v>
      </c>
      <c r="G34" s="48">
        <v>17000</v>
      </c>
      <c r="H34" s="46" t="s">
        <v>332</v>
      </c>
      <c r="I34" s="46">
        <v>1</v>
      </c>
      <c r="J34" s="46">
        <v>2</v>
      </c>
      <c r="K34" s="49" t="s">
        <v>66</v>
      </c>
      <c r="L34" s="49" t="s">
        <v>30</v>
      </c>
      <c r="M34" s="49" t="s">
        <v>29</v>
      </c>
      <c r="N34" s="49" t="s">
        <v>513</v>
      </c>
      <c r="O34" s="49"/>
      <c r="P34" s="49" t="s">
        <v>31</v>
      </c>
      <c r="Q34" s="49" t="s">
        <v>29</v>
      </c>
      <c r="R34" s="49">
        <v>0</v>
      </c>
      <c r="S34" s="50">
        <f t="shared" si="0"/>
        <v>0</v>
      </c>
      <c r="T34" s="49">
        <v>0</v>
      </c>
      <c r="U34" s="50">
        <f t="shared" si="1"/>
        <v>0</v>
      </c>
      <c r="V34" s="45"/>
      <c r="W34" s="49">
        <v>0</v>
      </c>
      <c r="X34" s="50">
        <f t="shared" si="2"/>
        <v>0</v>
      </c>
      <c r="Y34" s="51" t="str">
        <f t="shared" si="3"/>
        <v>No</v>
      </c>
      <c r="Z34" s="49" t="s">
        <v>29</v>
      </c>
      <c r="AA34" s="49" t="s">
        <v>29</v>
      </c>
      <c r="AB34" s="49" t="s">
        <v>29</v>
      </c>
      <c r="AC34" s="46" t="s">
        <v>26</v>
      </c>
      <c r="AD34" s="46" t="s">
        <v>27</v>
      </c>
      <c r="AE34" s="46" t="s">
        <v>73</v>
      </c>
      <c r="AF34" s="46" t="s">
        <v>29</v>
      </c>
      <c r="AG34" s="103">
        <v>59042</v>
      </c>
      <c r="AH34" s="52">
        <v>52453</v>
      </c>
      <c r="AI34" s="52">
        <v>52453</v>
      </c>
      <c r="AJ34" s="102">
        <v>79</v>
      </c>
      <c r="AK34" s="104">
        <v>158</v>
      </c>
      <c r="AL34" s="102">
        <v>79</v>
      </c>
      <c r="AM34" s="102"/>
      <c r="AN34" s="53">
        <f t="shared" si="4"/>
        <v>158</v>
      </c>
      <c r="AO34" s="53">
        <v>21</v>
      </c>
      <c r="AP34" s="102">
        <f t="shared" si="12"/>
        <v>6589</v>
      </c>
      <c r="AQ34" s="102">
        <f t="shared" si="13"/>
        <v>11.159852308526135</v>
      </c>
      <c r="AR34" s="102"/>
      <c r="AS34" s="102"/>
      <c r="AT34" s="102"/>
      <c r="AU34" s="102"/>
      <c r="AV34" s="102"/>
      <c r="AW34" s="102"/>
      <c r="AX34" s="102"/>
      <c r="AY34" s="102"/>
      <c r="AZ34" s="102"/>
      <c r="BA34" s="102"/>
      <c r="BB34" s="102"/>
      <c r="BC34" s="102"/>
      <c r="BD34" s="102"/>
      <c r="BE34" s="102"/>
      <c r="BF34" s="102"/>
      <c r="BG34" s="102"/>
      <c r="BH34" s="102"/>
      <c r="BI34" s="102"/>
      <c r="BJ34" s="102"/>
      <c r="BK34" s="102"/>
      <c r="BL34" s="102"/>
      <c r="BM34" s="102"/>
      <c r="BN34" s="102"/>
      <c r="BO34" s="102"/>
      <c r="BP34" s="102"/>
      <c r="BQ34" s="102"/>
      <c r="BR34" s="102"/>
      <c r="BS34" s="54" t="s">
        <v>23</v>
      </c>
      <c r="BT34" s="45" t="str">
        <f t="shared" si="5"/>
        <v>No</v>
      </c>
      <c r="BU34" s="45" t="str">
        <f t="shared" si="6"/>
        <v>No</v>
      </c>
      <c r="BV34" s="45" t="str">
        <f t="shared" si="7"/>
        <v>No</v>
      </c>
      <c r="BW34" s="55">
        <f t="shared" si="15"/>
        <v>41.428776702749303</v>
      </c>
      <c r="BX34" s="55">
        <f t="shared" si="15"/>
        <v>41.428776702749303</v>
      </c>
      <c r="BY34" s="55">
        <v>42.6587767027493</v>
      </c>
      <c r="BZ34" s="55">
        <f>BX34-(-0.0246*100/2)</f>
        <v>42.6587767027493</v>
      </c>
      <c r="CA34" s="45">
        <v>2004</v>
      </c>
      <c r="CB34" s="55">
        <f t="shared" si="9"/>
        <v>32.10589135424636</v>
      </c>
      <c r="CC34" s="46" t="s">
        <v>39</v>
      </c>
      <c r="CD34" s="46" t="s">
        <v>179</v>
      </c>
      <c r="CE34" s="46" t="s">
        <v>179</v>
      </c>
      <c r="CF34" s="46">
        <v>1</v>
      </c>
      <c r="CG34" s="46" t="str">
        <f t="shared" si="10"/>
        <v>No</v>
      </c>
      <c r="CH34" s="46" t="s">
        <v>35</v>
      </c>
      <c r="CI34" s="56">
        <v>25</v>
      </c>
      <c r="CJ34" s="46">
        <v>20</v>
      </c>
      <c r="CK34" s="46">
        <v>100</v>
      </c>
      <c r="CL34" s="49" t="s">
        <v>29</v>
      </c>
      <c r="CM34" s="50">
        <v>0</v>
      </c>
      <c r="CN34" s="50">
        <v>374174.69309999997</v>
      </c>
      <c r="CO34" s="50" t="s">
        <v>35</v>
      </c>
      <c r="CP34" s="46" t="s">
        <v>23</v>
      </c>
      <c r="CQ34" s="46" t="s">
        <v>23</v>
      </c>
      <c r="CR34" s="46">
        <v>5</v>
      </c>
      <c r="CS34" s="46" t="s">
        <v>854</v>
      </c>
      <c r="CT34" s="46" t="s">
        <v>53</v>
      </c>
      <c r="CU34" s="46" t="s">
        <v>29</v>
      </c>
      <c r="CV34" s="46" t="s">
        <v>23</v>
      </c>
      <c r="CW34" s="46" t="s">
        <v>23</v>
      </c>
      <c r="CX34" s="49" t="s">
        <v>560</v>
      </c>
      <c r="CY34" s="49" t="s">
        <v>59</v>
      </c>
      <c r="CZ34" s="49">
        <v>0</v>
      </c>
      <c r="DA34" s="49">
        <v>0</v>
      </c>
      <c r="DB34" s="68">
        <v>163375</v>
      </c>
      <c r="DC34" s="58">
        <v>48.29</v>
      </c>
      <c r="DD34" s="58">
        <v>3.45</v>
      </c>
      <c r="DE34" s="58">
        <v>30.36</v>
      </c>
      <c r="DF34" s="58">
        <v>15.790000000000001</v>
      </c>
      <c r="DG34" s="58">
        <v>2.1100000000000008</v>
      </c>
      <c r="DH34" s="58">
        <v>51.71</v>
      </c>
      <c r="DI34" s="45" t="s">
        <v>35</v>
      </c>
      <c r="DJ34" s="59" t="str">
        <f t="shared" si="11"/>
        <v>No single majority group</v>
      </c>
      <c r="DK34" s="69">
        <v>163375</v>
      </c>
      <c r="DL34" s="58">
        <v>48.29</v>
      </c>
      <c r="DM34" s="58">
        <v>3.45</v>
      </c>
      <c r="DN34" s="58">
        <v>30.36</v>
      </c>
      <c r="DO34" s="58">
        <v>51.71</v>
      </c>
      <c r="DP34" s="66">
        <v>49.4</v>
      </c>
      <c r="DQ34" s="67">
        <v>63858.04</v>
      </c>
      <c r="DR34" s="53">
        <v>13</v>
      </c>
      <c r="DS34" s="58">
        <v>71.5</v>
      </c>
      <c r="DT34" s="53">
        <v>48.9</v>
      </c>
      <c r="DU34" s="55">
        <v>3.42</v>
      </c>
      <c r="DV34" s="50">
        <v>31.5</v>
      </c>
      <c r="DW34" s="53">
        <v>72.599999999999994</v>
      </c>
      <c r="DX34" s="53">
        <v>90.35</v>
      </c>
      <c r="DY34" s="53">
        <v>61.970399999999998</v>
      </c>
      <c r="DZ34" s="63"/>
    </row>
    <row r="35" spans="1:130" s="5" customFormat="1" ht="14.25" hidden="1" customHeight="1">
      <c r="A35" s="45">
        <v>1029</v>
      </c>
      <c r="B35" s="46" t="s">
        <v>52</v>
      </c>
      <c r="C35" s="47">
        <v>2008</v>
      </c>
      <c r="D35" s="47" t="s">
        <v>21</v>
      </c>
      <c r="E35" s="46" t="s">
        <v>22</v>
      </c>
      <c r="F35" s="46">
        <v>4</v>
      </c>
      <c r="G35" s="48">
        <v>17000</v>
      </c>
      <c r="H35" s="46" t="s">
        <v>332</v>
      </c>
      <c r="I35" s="46">
        <v>2</v>
      </c>
      <c r="J35" s="46">
        <v>10</v>
      </c>
      <c r="K35" s="49" t="s">
        <v>64</v>
      </c>
      <c r="L35" s="49" t="s">
        <v>40</v>
      </c>
      <c r="M35" s="49" t="s">
        <v>35</v>
      </c>
      <c r="N35" s="49" t="s">
        <v>513</v>
      </c>
      <c r="O35" s="49"/>
      <c r="P35" s="49" t="s">
        <v>34</v>
      </c>
      <c r="Q35" s="49" t="s">
        <v>35</v>
      </c>
      <c r="R35" s="49">
        <v>3</v>
      </c>
      <c r="S35" s="50">
        <f t="shared" si="0"/>
        <v>30</v>
      </c>
      <c r="T35" s="49">
        <v>5</v>
      </c>
      <c r="U35" s="50">
        <f t="shared" si="1"/>
        <v>50</v>
      </c>
      <c r="V35" s="49" t="s">
        <v>790</v>
      </c>
      <c r="W35" s="49">
        <v>1</v>
      </c>
      <c r="X35" s="50">
        <f t="shared" si="2"/>
        <v>10</v>
      </c>
      <c r="Y35" s="51" t="str">
        <f t="shared" si="3"/>
        <v>Yes</v>
      </c>
      <c r="Z35" s="49" t="s">
        <v>29</v>
      </c>
      <c r="AA35" s="49" t="s">
        <v>35</v>
      </c>
      <c r="AB35" s="45" t="s">
        <v>35</v>
      </c>
      <c r="AC35" s="46" t="s">
        <v>26</v>
      </c>
      <c r="AD35" s="46" t="s">
        <v>27</v>
      </c>
      <c r="AE35" s="46" t="s">
        <v>155</v>
      </c>
      <c r="AF35" s="46" t="s">
        <v>29</v>
      </c>
      <c r="AG35" s="103">
        <v>187376</v>
      </c>
      <c r="AH35" s="52">
        <v>140518</v>
      </c>
      <c r="AI35" s="52">
        <v>140518</v>
      </c>
      <c r="AJ35" s="102">
        <v>22.6</v>
      </c>
      <c r="AK35" s="104">
        <v>67.800000000000011</v>
      </c>
      <c r="AL35" s="102">
        <v>22.6</v>
      </c>
      <c r="AM35" s="102"/>
      <c r="AN35" s="53">
        <f t="shared" si="4"/>
        <v>67.800000000000011</v>
      </c>
      <c r="AO35" s="53">
        <v>19.399999999999999</v>
      </c>
      <c r="AP35" s="102">
        <f t="shared" si="12"/>
        <v>46858</v>
      </c>
      <c r="AQ35" s="102">
        <f t="shared" si="13"/>
        <v>25.007471607890018</v>
      </c>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54" t="s">
        <v>23</v>
      </c>
      <c r="BT35" s="45" t="str">
        <f t="shared" si="5"/>
        <v>Yes</v>
      </c>
      <c r="BU35" s="45" t="str">
        <f t="shared" si="6"/>
        <v>Yes</v>
      </c>
      <c r="BV35" s="45" t="str">
        <f t="shared" si="7"/>
        <v>No</v>
      </c>
      <c r="BW35" s="55">
        <f t="shared" ref="BW35:BX39" si="16">(47433/(47433+42924))*100</f>
        <v>52.495102759055747</v>
      </c>
      <c r="BX35" s="55">
        <f t="shared" si="16"/>
        <v>52.495102759055747</v>
      </c>
      <c r="BY35" s="55">
        <v>48.860102759055749</v>
      </c>
      <c r="BZ35" s="55">
        <f>BX35-(0.0727*100/2)</f>
        <v>48.860102759055749</v>
      </c>
      <c r="CA35" s="45">
        <v>2008</v>
      </c>
      <c r="CB35" s="55">
        <f t="shared" si="9"/>
        <v>41.62879573396534</v>
      </c>
      <c r="CC35" s="46" t="s">
        <v>178</v>
      </c>
      <c r="CD35" s="46" t="s">
        <v>179</v>
      </c>
      <c r="CE35" s="46" t="s">
        <v>179</v>
      </c>
      <c r="CF35" s="46">
        <v>1</v>
      </c>
      <c r="CG35" s="46" t="str">
        <f t="shared" si="10"/>
        <v>No</v>
      </c>
      <c r="CH35" s="46" t="s">
        <v>35</v>
      </c>
      <c r="CI35" s="56">
        <v>25</v>
      </c>
      <c r="CJ35" s="46">
        <v>20</v>
      </c>
      <c r="CK35" s="46">
        <v>100</v>
      </c>
      <c r="CL35" s="49" t="s">
        <v>29</v>
      </c>
      <c r="CM35" s="50">
        <v>0</v>
      </c>
      <c r="CN35" s="50"/>
      <c r="CO35" s="50"/>
      <c r="CP35" s="46" t="s">
        <v>23</v>
      </c>
      <c r="CQ35" s="46" t="s">
        <v>24</v>
      </c>
      <c r="CR35" s="46">
        <v>5</v>
      </c>
      <c r="CS35" s="46" t="s">
        <v>854</v>
      </c>
      <c r="CT35" s="46" t="s">
        <v>53</v>
      </c>
      <c r="CU35" s="46" t="s">
        <v>29</v>
      </c>
      <c r="CV35" s="46" t="s">
        <v>23</v>
      </c>
      <c r="CW35" s="46" t="s">
        <v>23</v>
      </c>
      <c r="CX35" s="49" t="s">
        <v>560</v>
      </c>
      <c r="CY35" s="49" t="s">
        <v>59</v>
      </c>
      <c r="CZ35" s="49">
        <v>0</v>
      </c>
      <c r="DA35" s="49">
        <v>0</v>
      </c>
      <c r="DB35" s="68">
        <v>168775</v>
      </c>
      <c r="DC35" s="58">
        <v>45.85</v>
      </c>
      <c r="DD35" s="58">
        <v>3.2800000000000002</v>
      </c>
      <c r="DE35" s="58">
        <v>31.759999999999998</v>
      </c>
      <c r="DF35" s="58">
        <v>17.14</v>
      </c>
      <c r="DG35" s="58">
        <v>1.9700000000000051</v>
      </c>
      <c r="DH35" s="58">
        <v>54.15</v>
      </c>
      <c r="DI35" s="45" t="s">
        <v>35</v>
      </c>
      <c r="DJ35" s="59" t="str">
        <f t="shared" si="11"/>
        <v>No single majority group</v>
      </c>
      <c r="DK35" s="69">
        <v>168775</v>
      </c>
      <c r="DL35" s="58">
        <v>45.85</v>
      </c>
      <c r="DM35" s="58">
        <v>3.2800000000000002</v>
      </c>
      <c r="DN35" s="58">
        <v>31.759999999999998</v>
      </c>
      <c r="DO35" s="58">
        <v>54.15</v>
      </c>
      <c r="DP35" s="66">
        <v>50.1</v>
      </c>
      <c r="DQ35" s="67">
        <v>67759.100000000006</v>
      </c>
      <c r="DR35" s="53">
        <v>13.7</v>
      </c>
      <c r="DS35" s="58">
        <v>71.099999999999994</v>
      </c>
      <c r="DT35" s="53">
        <v>49.1</v>
      </c>
      <c r="DU35" s="55">
        <v>3.32</v>
      </c>
      <c r="DV35" s="50">
        <v>32.1</v>
      </c>
      <c r="DW35" s="53">
        <v>73.7</v>
      </c>
      <c r="DX35" s="53">
        <v>87.65</v>
      </c>
      <c r="DY35" s="53">
        <v>56.690800000000003</v>
      </c>
      <c r="DZ35" s="63"/>
    </row>
    <row r="36" spans="1:130" s="5" customFormat="1" ht="14.25" hidden="1" customHeight="1">
      <c r="A36" s="45">
        <v>1030</v>
      </c>
      <c r="B36" s="46" t="s">
        <v>52</v>
      </c>
      <c r="C36" s="47">
        <v>2008</v>
      </c>
      <c r="D36" s="47" t="s">
        <v>21</v>
      </c>
      <c r="E36" s="46" t="s">
        <v>22</v>
      </c>
      <c r="F36" s="46">
        <v>4</v>
      </c>
      <c r="G36" s="48">
        <v>17000</v>
      </c>
      <c r="H36" s="46" t="s">
        <v>332</v>
      </c>
      <c r="I36" s="46">
        <v>2</v>
      </c>
      <c r="J36" s="46">
        <v>10</v>
      </c>
      <c r="K36" s="49" t="s">
        <v>63</v>
      </c>
      <c r="L36" s="49" t="s">
        <v>30</v>
      </c>
      <c r="M36" s="49" t="s">
        <v>29</v>
      </c>
      <c r="N36" s="49" t="s">
        <v>513</v>
      </c>
      <c r="O36" s="49"/>
      <c r="P36" s="49" t="s">
        <v>34</v>
      </c>
      <c r="Q36" s="49" t="s">
        <v>35</v>
      </c>
      <c r="R36" s="49">
        <v>3</v>
      </c>
      <c r="S36" s="50">
        <f t="shared" si="0"/>
        <v>30</v>
      </c>
      <c r="T36" s="49">
        <v>5</v>
      </c>
      <c r="U36" s="50">
        <f t="shared" si="1"/>
        <v>50</v>
      </c>
      <c r="V36" s="49" t="s">
        <v>790</v>
      </c>
      <c r="W36" s="49">
        <v>1</v>
      </c>
      <c r="X36" s="50">
        <f t="shared" si="2"/>
        <v>10</v>
      </c>
      <c r="Y36" s="51" t="str">
        <f t="shared" si="3"/>
        <v>No</v>
      </c>
      <c r="Z36" s="49" t="s">
        <v>29</v>
      </c>
      <c r="AA36" s="49" t="s">
        <v>35</v>
      </c>
      <c r="AB36" s="49" t="s">
        <v>29</v>
      </c>
      <c r="AC36" s="46" t="s">
        <v>26</v>
      </c>
      <c r="AD36" s="46" t="s">
        <v>27</v>
      </c>
      <c r="AE36" s="46" t="s">
        <v>155</v>
      </c>
      <c r="AF36" s="46" t="s">
        <v>29</v>
      </c>
      <c r="AG36" s="103">
        <v>187376</v>
      </c>
      <c r="AH36" s="52">
        <v>140518</v>
      </c>
      <c r="AI36" s="52">
        <v>140518</v>
      </c>
      <c r="AJ36" s="102">
        <v>23.2</v>
      </c>
      <c r="AK36" s="104">
        <v>69.600000000000009</v>
      </c>
      <c r="AL36" s="102">
        <v>23.2</v>
      </c>
      <c r="AM36" s="102"/>
      <c r="AN36" s="53">
        <f t="shared" si="4"/>
        <v>69.600000000000009</v>
      </c>
      <c r="AO36" s="53">
        <v>19.399999999999999</v>
      </c>
      <c r="AP36" s="102">
        <f t="shared" si="12"/>
        <v>46858</v>
      </c>
      <c r="AQ36" s="102">
        <f t="shared" si="13"/>
        <v>25.007471607890018</v>
      </c>
      <c r="AR36" s="102"/>
      <c r="AS36" s="102"/>
      <c r="AT36" s="102"/>
      <c r="AU36" s="102"/>
      <c r="AV36" s="102"/>
      <c r="AW36" s="102"/>
      <c r="AX36" s="102"/>
      <c r="AY36" s="102"/>
      <c r="AZ36" s="102"/>
      <c r="BA36" s="102"/>
      <c r="BB36" s="102"/>
      <c r="BC36" s="102"/>
      <c r="BD36" s="102"/>
      <c r="BE36" s="102"/>
      <c r="BF36" s="102"/>
      <c r="BG36" s="102"/>
      <c r="BH36" s="102"/>
      <c r="BI36" s="102"/>
      <c r="BJ36" s="102"/>
      <c r="BK36" s="102"/>
      <c r="BL36" s="102"/>
      <c r="BM36" s="102"/>
      <c r="BN36" s="102"/>
      <c r="BO36" s="102"/>
      <c r="BP36" s="102"/>
      <c r="BQ36" s="102"/>
      <c r="BR36" s="102"/>
      <c r="BS36" s="54" t="s">
        <v>23</v>
      </c>
      <c r="BT36" s="45" t="str">
        <f t="shared" si="5"/>
        <v>Yes</v>
      </c>
      <c r="BU36" s="45" t="str">
        <f t="shared" si="6"/>
        <v>Yes</v>
      </c>
      <c r="BV36" s="45" t="str">
        <f t="shared" si="7"/>
        <v>No</v>
      </c>
      <c r="BW36" s="55">
        <f t="shared" si="16"/>
        <v>52.495102759055747</v>
      </c>
      <c r="BX36" s="55">
        <f t="shared" si="16"/>
        <v>52.495102759055747</v>
      </c>
      <c r="BY36" s="55">
        <v>48.860102759055749</v>
      </c>
      <c r="BZ36" s="55">
        <f>BX36-(0.0727*100/2)</f>
        <v>48.860102759055749</v>
      </c>
      <c r="CA36" s="45">
        <v>2008</v>
      </c>
      <c r="CB36" s="55">
        <f t="shared" si="9"/>
        <v>41.62879573396534</v>
      </c>
      <c r="CC36" s="46" t="s">
        <v>178</v>
      </c>
      <c r="CD36" s="46" t="s">
        <v>179</v>
      </c>
      <c r="CE36" s="46" t="s">
        <v>179</v>
      </c>
      <c r="CF36" s="46">
        <v>1</v>
      </c>
      <c r="CG36" s="46" t="str">
        <f t="shared" si="10"/>
        <v>No</v>
      </c>
      <c r="CH36" s="46" t="s">
        <v>35</v>
      </c>
      <c r="CI36" s="56">
        <v>25</v>
      </c>
      <c r="CJ36" s="46">
        <v>20</v>
      </c>
      <c r="CK36" s="46">
        <v>100</v>
      </c>
      <c r="CL36" s="49" t="s">
        <v>29</v>
      </c>
      <c r="CM36" s="102">
        <v>0</v>
      </c>
      <c r="CN36" s="102"/>
      <c r="CO36" s="102"/>
      <c r="CP36" s="46" t="s">
        <v>23</v>
      </c>
      <c r="CQ36" s="46" t="s">
        <v>24</v>
      </c>
      <c r="CR36" s="46">
        <v>5</v>
      </c>
      <c r="CS36" s="46" t="s">
        <v>854</v>
      </c>
      <c r="CT36" s="46" t="s">
        <v>53</v>
      </c>
      <c r="CU36" s="46" t="s">
        <v>29</v>
      </c>
      <c r="CV36" s="46" t="s">
        <v>23</v>
      </c>
      <c r="CW36" s="46" t="s">
        <v>23</v>
      </c>
      <c r="CX36" s="49" t="s">
        <v>560</v>
      </c>
      <c r="CY36" s="49" t="s">
        <v>59</v>
      </c>
      <c r="CZ36" s="49">
        <v>0</v>
      </c>
      <c r="DA36" s="49">
        <v>0</v>
      </c>
      <c r="DB36" s="68">
        <v>168775</v>
      </c>
      <c r="DC36" s="58">
        <v>45.85</v>
      </c>
      <c r="DD36" s="58">
        <v>3.2800000000000002</v>
      </c>
      <c r="DE36" s="58">
        <v>31.759999999999998</v>
      </c>
      <c r="DF36" s="58">
        <v>17.14</v>
      </c>
      <c r="DG36" s="58">
        <v>1.9700000000000051</v>
      </c>
      <c r="DH36" s="58">
        <v>54.15</v>
      </c>
      <c r="DI36" s="45" t="s">
        <v>35</v>
      </c>
      <c r="DJ36" s="59" t="str">
        <f t="shared" si="11"/>
        <v>No single majority group</v>
      </c>
      <c r="DK36" s="69">
        <v>168775</v>
      </c>
      <c r="DL36" s="58">
        <v>45.85</v>
      </c>
      <c r="DM36" s="58">
        <v>3.2800000000000002</v>
      </c>
      <c r="DN36" s="58">
        <v>31.759999999999998</v>
      </c>
      <c r="DO36" s="58">
        <v>54.15</v>
      </c>
      <c r="DP36" s="66">
        <v>50.1</v>
      </c>
      <c r="DQ36" s="67">
        <v>67759.100000000006</v>
      </c>
      <c r="DR36" s="53">
        <v>13.7</v>
      </c>
      <c r="DS36" s="58">
        <v>71.099999999999994</v>
      </c>
      <c r="DT36" s="53">
        <v>49.1</v>
      </c>
      <c r="DU36" s="55">
        <v>3.32</v>
      </c>
      <c r="DV36" s="50">
        <v>32.1</v>
      </c>
      <c r="DW36" s="53">
        <v>73.7</v>
      </c>
      <c r="DX36" s="53">
        <v>87.65</v>
      </c>
      <c r="DY36" s="53">
        <v>56.690800000000003</v>
      </c>
      <c r="DZ36" s="63"/>
    </row>
    <row r="37" spans="1:130" s="5" customFormat="1" ht="14.25" hidden="1" customHeight="1">
      <c r="A37" s="45">
        <v>1026</v>
      </c>
      <c r="B37" s="46" t="s">
        <v>52</v>
      </c>
      <c r="C37" s="47">
        <v>2010</v>
      </c>
      <c r="D37" s="47" t="s">
        <v>21</v>
      </c>
      <c r="E37" s="46" t="s">
        <v>22</v>
      </c>
      <c r="F37" s="46">
        <v>4</v>
      </c>
      <c r="G37" s="48">
        <v>18000</v>
      </c>
      <c r="H37" s="46" t="s">
        <v>332</v>
      </c>
      <c r="I37" s="46">
        <v>2</v>
      </c>
      <c r="J37" s="46">
        <v>14</v>
      </c>
      <c r="K37" s="49" t="s">
        <v>62</v>
      </c>
      <c r="L37" s="49" t="s">
        <v>40</v>
      </c>
      <c r="M37" s="49" t="s">
        <v>35</v>
      </c>
      <c r="N37" s="49" t="s">
        <v>512</v>
      </c>
      <c r="O37" s="49"/>
      <c r="P37" s="49" t="s">
        <v>31</v>
      </c>
      <c r="Q37" s="49" t="s">
        <v>29</v>
      </c>
      <c r="R37" s="49">
        <v>3</v>
      </c>
      <c r="S37" s="50">
        <f t="shared" ref="S37:S67" si="17">(R37/J37)*100</f>
        <v>21.428571428571427</v>
      </c>
      <c r="T37" s="49">
        <v>5</v>
      </c>
      <c r="U37" s="50">
        <f t="shared" ref="U37:U68" si="18">(T37/J37)*100</f>
        <v>35.714285714285715</v>
      </c>
      <c r="V37" s="49" t="s">
        <v>860</v>
      </c>
      <c r="W37" s="49">
        <v>0</v>
      </c>
      <c r="X37" s="50">
        <f t="shared" ref="X37:X68" si="19">(W37/J37)*100</f>
        <v>0</v>
      </c>
      <c r="Y37" s="51" t="str">
        <f t="shared" ref="Y37:Y68" si="20">IF(L37="M","No", IF(P37="n/a","No",IF(P37="white","No","Yes")))</f>
        <v>No</v>
      </c>
      <c r="Z37" s="49" t="s">
        <v>35</v>
      </c>
      <c r="AA37" s="49" t="s">
        <v>23</v>
      </c>
      <c r="AB37" s="49" t="s">
        <v>23</v>
      </c>
      <c r="AC37" s="46" t="s">
        <v>26</v>
      </c>
      <c r="AD37" s="46" t="s">
        <v>27</v>
      </c>
      <c r="AE37" s="46" t="s">
        <v>73</v>
      </c>
      <c r="AF37" s="46" t="s">
        <v>29</v>
      </c>
      <c r="AG37" s="103">
        <v>140832</v>
      </c>
      <c r="AH37" s="52">
        <v>107561</v>
      </c>
      <c r="AI37" s="52">
        <v>107561</v>
      </c>
      <c r="AJ37" s="102">
        <v>16.600000000000001</v>
      </c>
      <c r="AK37" s="104">
        <v>49.800000000000004</v>
      </c>
      <c r="AL37" s="102">
        <v>16.600000000000001</v>
      </c>
      <c r="AM37" s="102"/>
      <c r="AN37" s="53">
        <f t="shared" ref="AN37:AN68" si="21">AL37/(1/(I37+1))</f>
        <v>49.800000000000004</v>
      </c>
      <c r="AO37" s="53">
        <v>12.1</v>
      </c>
      <c r="AP37" s="102">
        <f t="shared" si="12"/>
        <v>33271</v>
      </c>
      <c r="AQ37" s="102">
        <f t="shared" si="13"/>
        <v>23.624602363099296</v>
      </c>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s="102"/>
      <c r="BN37" s="102"/>
      <c r="BO37" s="102"/>
      <c r="BP37" s="102"/>
      <c r="BQ37" s="102"/>
      <c r="BR37" s="102"/>
      <c r="BS37" s="54" t="s">
        <v>23</v>
      </c>
      <c r="BT37" s="45" t="str">
        <f t="shared" ref="BT37:BT68" si="22">IF(J37=I37, "No", IF(AJ37/AO37&lt;2, "Yes", "No"))</f>
        <v>Yes</v>
      </c>
      <c r="BU37" s="45" t="str">
        <f t="shared" ref="BU37:BU68" si="23">IF(J37=I37, "No", IF(AJ37/AO37&lt;1.5, "Yes", "No"))</f>
        <v>Yes</v>
      </c>
      <c r="BV37" s="45" t="str">
        <f t="shared" ref="BV37:BV68" si="24">IF(J37=I37, "No", IF((ABS(AJ37-AO37))&lt;(5/I37), "Yes", "No"))</f>
        <v>No</v>
      </c>
      <c r="BW37" s="55">
        <f t="shared" si="16"/>
        <v>52.495102759055747</v>
      </c>
      <c r="BX37" s="55">
        <f t="shared" si="16"/>
        <v>52.495102759055747</v>
      </c>
      <c r="BY37" s="55">
        <v>48.860102759055749</v>
      </c>
      <c r="BZ37" s="55">
        <f>BX37-(0.0727*100/2)</f>
        <v>48.860102759055749</v>
      </c>
      <c r="CA37" s="45">
        <v>2008</v>
      </c>
      <c r="CB37" s="55">
        <f t="shared" ref="CB37:CB68" si="25">((AI37/I37)/DB37)*100</f>
        <v>30.512893251255285</v>
      </c>
      <c r="CC37" s="46" t="s">
        <v>178</v>
      </c>
      <c r="CD37" s="46" t="s">
        <v>179</v>
      </c>
      <c r="CE37" s="46" t="s">
        <v>179</v>
      </c>
      <c r="CF37" s="46">
        <v>1</v>
      </c>
      <c r="CG37" s="46" t="str">
        <f t="shared" ref="CG37:CG68" si="26">IF(CD37="Primary (decisive)", "Yes", "No")</f>
        <v>No</v>
      </c>
      <c r="CH37" s="46" t="s">
        <v>35</v>
      </c>
      <c r="CI37" s="56">
        <v>25</v>
      </c>
      <c r="CJ37" s="46">
        <v>20</v>
      </c>
      <c r="CK37" s="46">
        <v>100</v>
      </c>
      <c r="CL37" s="49" t="s">
        <v>29</v>
      </c>
      <c r="CM37" s="50">
        <v>0</v>
      </c>
      <c r="CN37" s="50"/>
      <c r="CO37" s="50"/>
      <c r="CP37" s="46" t="s">
        <v>23</v>
      </c>
      <c r="CQ37" s="46" t="s">
        <v>24</v>
      </c>
      <c r="CR37" s="46">
        <v>5</v>
      </c>
      <c r="CS37" s="46" t="s">
        <v>854</v>
      </c>
      <c r="CT37" s="46" t="s">
        <v>53</v>
      </c>
      <c r="CU37" s="46" t="s">
        <v>29</v>
      </c>
      <c r="CV37" s="46" t="s">
        <v>23</v>
      </c>
      <c r="CW37" s="46" t="s">
        <v>23</v>
      </c>
      <c r="CX37" s="49" t="s">
        <v>560</v>
      </c>
      <c r="CY37" s="49" t="s">
        <v>59</v>
      </c>
      <c r="CZ37" s="49">
        <v>0</v>
      </c>
      <c r="DA37" s="49">
        <v>0</v>
      </c>
      <c r="DB37" s="64">
        <v>176255</v>
      </c>
      <c r="DC37" s="58">
        <v>43.57</v>
      </c>
      <c r="DD37" s="58">
        <v>3.34</v>
      </c>
      <c r="DE37" s="58">
        <v>33.6</v>
      </c>
      <c r="DF37" s="58">
        <v>17.349999999999998</v>
      </c>
      <c r="DG37" s="58">
        <v>2.1400000000000086</v>
      </c>
      <c r="DH37" s="58">
        <v>56.43</v>
      </c>
      <c r="DI37" s="45" t="s">
        <v>35</v>
      </c>
      <c r="DJ37" s="59" t="str">
        <f t="shared" ref="DJ37:DJ68" si="27">IF(DH37&lt;50,"N/A",IF(DD37&gt;50,"African American",IF(DE37&gt;50,"Latino",IF(DF37&gt;50,"Asian","No single majority group"))))</f>
        <v>No single majority group</v>
      </c>
      <c r="DK37" s="65">
        <v>176255</v>
      </c>
      <c r="DL37" s="58">
        <v>43.57</v>
      </c>
      <c r="DM37" s="58">
        <v>3.34</v>
      </c>
      <c r="DN37" s="58">
        <v>33.6</v>
      </c>
      <c r="DO37" s="58">
        <v>56.43</v>
      </c>
      <c r="DP37" s="66">
        <v>49.7</v>
      </c>
      <c r="DQ37" s="67">
        <v>61481</v>
      </c>
      <c r="DR37" s="53">
        <v>15.6</v>
      </c>
      <c r="DS37" s="58">
        <v>72.099999999999994</v>
      </c>
      <c r="DT37" s="53">
        <v>48.4</v>
      </c>
      <c r="DU37" s="55">
        <v>3.39</v>
      </c>
      <c r="DV37" s="50">
        <v>32.4</v>
      </c>
      <c r="DW37" s="53">
        <v>73.8</v>
      </c>
      <c r="DX37" s="53">
        <v>89.22</v>
      </c>
      <c r="DY37" s="53">
        <v>64.012100000000004</v>
      </c>
      <c r="DZ37" s="63"/>
    </row>
    <row r="38" spans="1:130" s="5" customFormat="1" ht="14.25" hidden="1" customHeight="1">
      <c r="A38" s="45">
        <v>1027</v>
      </c>
      <c r="B38" s="46" t="s">
        <v>52</v>
      </c>
      <c r="C38" s="47">
        <v>2010</v>
      </c>
      <c r="D38" s="47" t="s">
        <v>21</v>
      </c>
      <c r="E38" s="46" t="s">
        <v>22</v>
      </c>
      <c r="F38" s="46">
        <v>4</v>
      </c>
      <c r="G38" s="48">
        <v>18000</v>
      </c>
      <c r="H38" s="46" t="s">
        <v>332</v>
      </c>
      <c r="I38" s="46">
        <v>2</v>
      </c>
      <c r="J38" s="46">
        <v>14</v>
      </c>
      <c r="K38" s="49" t="s">
        <v>61</v>
      </c>
      <c r="L38" s="49" t="s">
        <v>40</v>
      </c>
      <c r="M38" s="49" t="s">
        <v>35</v>
      </c>
      <c r="N38" s="49" t="s">
        <v>512</v>
      </c>
      <c r="O38" s="49"/>
      <c r="P38" s="49" t="s">
        <v>31</v>
      </c>
      <c r="Q38" s="49" t="s">
        <v>29</v>
      </c>
      <c r="R38" s="49">
        <v>3</v>
      </c>
      <c r="S38" s="50">
        <f t="shared" si="17"/>
        <v>21.428571428571427</v>
      </c>
      <c r="T38" s="49">
        <v>5</v>
      </c>
      <c r="U38" s="50">
        <f t="shared" si="18"/>
        <v>35.714285714285715</v>
      </c>
      <c r="V38" s="49" t="s">
        <v>860</v>
      </c>
      <c r="W38" s="49">
        <v>0</v>
      </c>
      <c r="X38" s="50">
        <f t="shared" si="19"/>
        <v>0</v>
      </c>
      <c r="Y38" s="51" t="str">
        <f t="shared" si="20"/>
        <v>No</v>
      </c>
      <c r="Z38" s="49" t="s">
        <v>35</v>
      </c>
      <c r="AA38" s="49" t="s">
        <v>23</v>
      </c>
      <c r="AB38" s="49" t="s">
        <v>23</v>
      </c>
      <c r="AC38" s="46" t="s">
        <v>26</v>
      </c>
      <c r="AD38" s="46" t="s">
        <v>27</v>
      </c>
      <c r="AE38" s="46" t="s">
        <v>73</v>
      </c>
      <c r="AF38" s="46" t="s">
        <v>29</v>
      </c>
      <c r="AG38" s="103">
        <v>140832</v>
      </c>
      <c r="AH38" s="52">
        <v>107561</v>
      </c>
      <c r="AI38" s="52">
        <v>107561</v>
      </c>
      <c r="AJ38" s="102">
        <v>19</v>
      </c>
      <c r="AK38" s="104">
        <v>57</v>
      </c>
      <c r="AL38" s="102">
        <v>19</v>
      </c>
      <c r="AM38" s="102"/>
      <c r="AN38" s="53">
        <f t="shared" si="21"/>
        <v>57</v>
      </c>
      <c r="AO38" s="53">
        <v>12.1</v>
      </c>
      <c r="AP38" s="102">
        <f t="shared" si="12"/>
        <v>33271</v>
      </c>
      <c r="AQ38" s="102">
        <f t="shared" si="13"/>
        <v>23.624602363099296</v>
      </c>
      <c r="AR38" s="102"/>
      <c r="AS38" s="102"/>
      <c r="AT38" s="102"/>
      <c r="AU38" s="102"/>
      <c r="AV38" s="102"/>
      <c r="AW38" s="102"/>
      <c r="AX38" s="102"/>
      <c r="AY38" s="102"/>
      <c r="AZ38" s="102"/>
      <c r="BA38" s="102"/>
      <c r="BB38" s="102"/>
      <c r="BC38" s="102"/>
      <c r="BD38" s="102"/>
      <c r="BE38" s="102"/>
      <c r="BF38" s="102"/>
      <c r="BG38" s="102"/>
      <c r="BH38" s="102"/>
      <c r="BI38" s="102"/>
      <c r="BJ38" s="102"/>
      <c r="BK38" s="102"/>
      <c r="BL38" s="102"/>
      <c r="BM38" s="102"/>
      <c r="BN38" s="102"/>
      <c r="BO38" s="102"/>
      <c r="BP38" s="102"/>
      <c r="BQ38" s="102"/>
      <c r="BR38" s="102"/>
      <c r="BS38" s="54" t="s">
        <v>23</v>
      </c>
      <c r="BT38" s="45" t="str">
        <f t="shared" si="22"/>
        <v>Yes</v>
      </c>
      <c r="BU38" s="45" t="str">
        <f t="shared" si="23"/>
        <v>No</v>
      </c>
      <c r="BV38" s="45" t="str">
        <f t="shared" si="24"/>
        <v>No</v>
      </c>
      <c r="BW38" s="55">
        <f t="shared" si="16"/>
        <v>52.495102759055747</v>
      </c>
      <c r="BX38" s="55">
        <f t="shared" si="16"/>
        <v>52.495102759055747</v>
      </c>
      <c r="BY38" s="55">
        <v>48.860102759055749</v>
      </c>
      <c r="BZ38" s="55">
        <f>BX38-(0.0727*100/2)</f>
        <v>48.860102759055749</v>
      </c>
      <c r="CA38" s="45">
        <v>2008</v>
      </c>
      <c r="CB38" s="55">
        <f t="shared" si="25"/>
        <v>30.512893251255285</v>
      </c>
      <c r="CC38" s="46" t="s">
        <v>178</v>
      </c>
      <c r="CD38" s="46" t="s">
        <v>179</v>
      </c>
      <c r="CE38" s="46" t="s">
        <v>179</v>
      </c>
      <c r="CF38" s="46">
        <v>1</v>
      </c>
      <c r="CG38" s="46" t="str">
        <f t="shared" si="26"/>
        <v>No</v>
      </c>
      <c r="CH38" s="46" t="s">
        <v>35</v>
      </c>
      <c r="CI38" s="56">
        <v>25</v>
      </c>
      <c r="CJ38" s="46">
        <v>20</v>
      </c>
      <c r="CK38" s="46">
        <v>100</v>
      </c>
      <c r="CL38" s="49" t="s">
        <v>29</v>
      </c>
      <c r="CM38" s="50">
        <v>0</v>
      </c>
      <c r="CN38" s="50"/>
      <c r="CO38" s="50"/>
      <c r="CP38" s="46" t="s">
        <v>23</v>
      </c>
      <c r="CQ38" s="46" t="s">
        <v>24</v>
      </c>
      <c r="CR38" s="46">
        <v>5</v>
      </c>
      <c r="CS38" s="46" t="s">
        <v>854</v>
      </c>
      <c r="CT38" s="46" t="s">
        <v>53</v>
      </c>
      <c r="CU38" s="46" t="s">
        <v>29</v>
      </c>
      <c r="CV38" s="46" t="s">
        <v>23</v>
      </c>
      <c r="CW38" s="46" t="s">
        <v>23</v>
      </c>
      <c r="CX38" s="49" t="s">
        <v>560</v>
      </c>
      <c r="CY38" s="49" t="s">
        <v>59</v>
      </c>
      <c r="CZ38" s="49">
        <v>0</v>
      </c>
      <c r="DA38" s="49">
        <v>0</v>
      </c>
      <c r="DB38" s="64">
        <v>176255</v>
      </c>
      <c r="DC38" s="58">
        <v>43.57</v>
      </c>
      <c r="DD38" s="58">
        <v>3.34</v>
      </c>
      <c r="DE38" s="58">
        <v>33.6</v>
      </c>
      <c r="DF38" s="58">
        <v>17.349999999999998</v>
      </c>
      <c r="DG38" s="58">
        <v>2.1400000000000086</v>
      </c>
      <c r="DH38" s="58">
        <v>56.43</v>
      </c>
      <c r="DI38" s="45" t="s">
        <v>35</v>
      </c>
      <c r="DJ38" s="59" t="str">
        <f t="shared" si="27"/>
        <v>No single majority group</v>
      </c>
      <c r="DK38" s="65">
        <v>176255</v>
      </c>
      <c r="DL38" s="58">
        <v>43.57</v>
      </c>
      <c r="DM38" s="58">
        <v>3.34</v>
      </c>
      <c r="DN38" s="58">
        <v>33.6</v>
      </c>
      <c r="DO38" s="58">
        <v>56.43</v>
      </c>
      <c r="DP38" s="66">
        <v>49.7</v>
      </c>
      <c r="DQ38" s="67">
        <v>61481</v>
      </c>
      <c r="DR38" s="53">
        <v>15.6</v>
      </c>
      <c r="DS38" s="58">
        <v>72.099999999999994</v>
      </c>
      <c r="DT38" s="53">
        <v>48.4</v>
      </c>
      <c r="DU38" s="55">
        <v>3.39</v>
      </c>
      <c r="DV38" s="50">
        <v>32.4</v>
      </c>
      <c r="DW38" s="53">
        <v>73.8</v>
      </c>
      <c r="DX38" s="53">
        <v>89.22</v>
      </c>
      <c r="DY38" s="53">
        <v>64.012100000000004</v>
      </c>
      <c r="DZ38" s="63"/>
    </row>
    <row r="39" spans="1:130" s="5" customFormat="1" ht="14.25" hidden="1" customHeight="1">
      <c r="A39" s="45">
        <v>1028</v>
      </c>
      <c r="B39" s="46" t="s">
        <v>52</v>
      </c>
      <c r="C39" s="47">
        <v>2010</v>
      </c>
      <c r="D39" s="47" t="s">
        <v>38</v>
      </c>
      <c r="E39" s="46" t="s">
        <v>22</v>
      </c>
      <c r="F39" s="46">
        <v>4</v>
      </c>
      <c r="G39" s="48">
        <v>17000</v>
      </c>
      <c r="H39" s="46" t="s">
        <v>332</v>
      </c>
      <c r="I39" s="46">
        <v>1</v>
      </c>
      <c r="J39" s="46">
        <v>3</v>
      </c>
      <c r="K39" s="49" t="s">
        <v>57</v>
      </c>
      <c r="L39" s="49" t="s">
        <v>30</v>
      </c>
      <c r="M39" s="49" t="s">
        <v>29</v>
      </c>
      <c r="N39" s="49" t="s">
        <v>512</v>
      </c>
      <c r="O39" s="49"/>
      <c r="P39" s="49" t="s">
        <v>31</v>
      </c>
      <c r="Q39" s="49" t="s">
        <v>29</v>
      </c>
      <c r="R39" s="49">
        <v>1</v>
      </c>
      <c r="S39" s="50">
        <f t="shared" si="17"/>
        <v>33.333333333333329</v>
      </c>
      <c r="T39" s="49">
        <v>0</v>
      </c>
      <c r="U39" s="50">
        <f t="shared" si="18"/>
        <v>0</v>
      </c>
      <c r="V39" s="45"/>
      <c r="W39" s="49">
        <v>0</v>
      </c>
      <c r="X39" s="50">
        <f t="shared" si="19"/>
        <v>0</v>
      </c>
      <c r="Y39" s="51" t="str">
        <f t="shared" si="20"/>
        <v>No</v>
      </c>
      <c r="Z39" s="49" t="s">
        <v>35</v>
      </c>
      <c r="AA39" s="49" t="s">
        <v>23</v>
      </c>
      <c r="AB39" s="49" t="s">
        <v>23</v>
      </c>
      <c r="AC39" s="46" t="s">
        <v>26</v>
      </c>
      <c r="AD39" s="46" t="s">
        <v>27</v>
      </c>
      <c r="AE39" s="46" t="s">
        <v>73</v>
      </c>
      <c r="AF39" s="46" t="s">
        <v>29</v>
      </c>
      <c r="AG39" s="103">
        <v>70416</v>
      </c>
      <c r="AH39" s="52">
        <v>61237</v>
      </c>
      <c r="AI39" s="52">
        <v>61237</v>
      </c>
      <c r="AJ39" s="102">
        <v>54.4</v>
      </c>
      <c r="AK39" s="104">
        <v>108.8</v>
      </c>
      <c r="AL39" s="102">
        <v>54.4</v>
      </c>
      <c r="AM39" s="102"/>
      <c r="AN39" s="53">
        <f t="shared" si="21"/>
        <v>108.8</v>
      </c>
      <c r="AO39" s="53">
        <v>32.1</v>
      </c>
      <c r="AP39" s="102">
        <f t="shared" si="12"/>
        <v>9179</v>
      </c>
      <c r="AQ39" s="102">
        <f t="shared" si="13"/>
        <v>13.035389684162691</v>
      </c>
      <c r="AR39" s="102"/>
      <c r="AS39" s="102"/>
      <c r="AT39" s="102"/>
      <c r="AU39" s="102"/>
      <c r="AV39" s="102"/>
      <c r="AW39" s="102"/>
      <c r="AX39" s="102"/>
      <c r="AY39" s="102"/>
      <c r="AZ39" s="102"/>
      <c r="BA39" s="102"/>
      <c r="BB39" s="102"/>
      <c r="BC39" s="102"/>
      <c r="BD39" s="102"/>
      <c r="BE39" s="102"/>
      <c r="BF39" s="102"/>
      <c r="BG39" s="102"/>
      <c r="BH39" s="102"/>
      <c r="BI39" s="102"/>
      <c r="BJ39" s="102"/>
      <c r="BK39" s="102"/>
      <c r="BL39" s="102"/>
      <c r="BM39" s="102"/>
      <c r="BN39" s="102"/>
      <c r="BO39" s="102"/>
      <c r="BP39" s="102"/>
      <c r="BQ39" s="102"/>
      <c r="BR39" s="102"/>
      <c r="BS39" s="54" t="s">
        <v>23</v>
      </c>
      <c r="BT39" s="45" t="str">
        <f t="shared" si="22"/>
        <v>Yes</v>
      </c>
      <c r="BU39" s="45" t="str">
        <f t="shared" si="23"/>
        <v>No</v>
      </c>
      <c r="BV39" s="45" t="str">
        <f t="shared" si="24"/>
        <v>No</v>
      </c>
      <c r="BW39" s="55">
        <f t="shared" si="16"/>
        <v>52.495102759055747</v>
      </c>
      <c r="BX39" s="55">
        <f t="shared" si="16"/>
        <v>52.495102759055747</v>
      </c>
      <c r="BY39" s="55">
        <v>48.860102759055749</v>
      </c>
      <c r="BZ39" s="55">
        <f>BX39-(0.0727*100/2)</f>
        <v>48.860102759055749</v>
      </c>
      <c r="CA39" s="45">
        <v>2008</v>
      </c>
      <c r="CB39" s="55">
        <f t="shared" si="25"/>
        <v>34.74341153442456</v>
      </c>
      <c r="CC39" s="46" t="s">
        <v>39</v>
      </c>
      <c r="CD39" s="46" t="s">
        <v>179</v>
      </c>
      <c r="CE39" s="46" t="s">
        <v>179</v>
      </c>
      <c r="CF39" s="46">
        <v>1</v>
      </c>
      <c r="CG39" s="46" t="str">
        <f t="shared" si="26"/>
        <v>No</v>
      </c>
      <c r="CH39" s="46" t="s">
        <v>35</v>
      </c>
      <c r="CI39" s="56">
        <v>25</v>
      </c>
      <c r="CJ39" s="46">
        <v>20</v>
      </c>
      <c r="CK39" s="46">
        <v>100</v>
      </c>
      <c r="CL39" s="49" t="s">
        <v>29</v>
      </c>
      <c r="CM39" s="50">
        <v>0</v>
      </c>
      <c r="CN39" s="50">
        <v>46747.767399999997</v>
      </c>
      <c r="CO39" s="50" t="s">
        <v>29</v>
      </c>
      <c r="CP39" s="46" t="s">
        <v>23</v>
      </c>
      <c r="CQ39" s="46" t="s">
        <v>23</v>
      </c>
      <c r="CR39" s="46">
        <v>5</v>
      </c>
      <c r="CS39" s="46" t="s">
        <v>854</v>
      </c>
      <c r="CT39" s="46" t="s">
        <v>53</v>
      </c>
      <c r="CU39" s="46" t="s">
        <v>29</v>
      </c>
      <c r="CV39" s="46" t="s">
        <v>23</v>
      </c>
      <c r="CW39" s="46" t="s">
        <v>23</v>
      </c>
      <c r="CX39" s="49" t="s">
        <v>560</v>
      </c>
      <c r="CY39" s="49" t="s">
        <v>59</v>
      </c>
      <c r="CZ39" s="49">
        <v>0</v>
      </c>
      <c r="DA39" s="49">
        <v>0</v>
      </c>
      <c r="DB39" s="64">
        <v>176255</v>
      </c>
      <c r="DC39" s="58">
        <v>43.57</v>
      </c>
      <c r="DD39" s="58">
        <v>3.34</v>
      </c>
      <c r="DE39" s="58">
        <v>33.6</v>
      </c>
      <c r="DF39" s="58">
        <v>17.349999999999998</v>
      </c>
      <c r="DG39" s="58">
        <v>2.1400000000000086</v>
      </c>
      <c r="DH39" s="58">
        <v>56.43</v>
      </c>
      <c r="DI39" s="45" t="s">
        <v>35</v>
      </c>
      <c r="DJ39" s="59" t="str">
        <f t="shared" si="27"/>
        <v>No single majority group</v>
      </c>
      <c r="DK39" s="65">
        <v>176255</v>
      </c>
      <c r="DL39" s="58">
        <v>43.57</v>
      </c>
      <c r="DM39" s="58">
        <v>3.34</v>
      </c>
      <c r="DN39" s="58">
        <v>33.6</v>
      </c>
      <c r="DO39" s="58">
        <v>56.43</v>
      </c>
      <c r="DP39" s="66">
        <v>49.7</v>
      </c>
      <c r="DQ39" s="67">
        <v>61481</v>
      </c>
      <c r="DR39" s="53">
        <v>15.6</v>
      </c>
      <c r="DS39" s="58">
        <v>72.099999999999994</v>
      </c>
      <c r="DT39" s="53">
        <v>48.4</v>
      </c>
      <c r="DU39" s="55">
        <v>3.39</v>
      </c>
      <c r="DV39" s="102">
        <v>32.4</v>
      </c>
      <c r="DW39" s="53">
        <v>73.8</v>
      </c>
      <c r="DX39" s="53">
        <v>89.22</v>
      </c>
      <c r="DY39" s="53">
        <v>64.012100000000004</v>
      </c>
      <c r="DZ39" s="63"/>
    </row>
    <row r="40" spans="1:130" s="5" customFormat="1" ht="14.25" hidden="1" customHeight="1">
      <c r="A40" s="45">
        <v>1024</v>
      </c>
      <c r="B40" s="46" t="s">
        <v>52</v>
      </c>
      <c r="C40" s="47">
        <v>2012</v>
      </c>
      <c r="D40" s="47" t="s">
        <v>21</v>
      </c>
      <c r="E40" s="46" t="s">
        <v>22</v>
      </c>
      <c r="F40" s="46">
        <v>4</v>
      </c>
      <c r="G40" s="48">
        <v>18000</v>
      </c>
      <c r="H40" s="46" t="s">
        <v>332</v>
      </c>
      <c r="I40" s="46">
        <v>2</v>
      </c>
      <c r="J40" s="46">
        <v>9</v>
      </c>
      <c r="K40" s="49" t="s">
        <v>60</v>
      </c>
      <c r="L40" s="49" t="s">
        <v>40</v>
      </c>
      <c r="M40" s="49" t="s">
        <v>35</v>
      </c>
      <c r="N40" s="49" t="s">
        <v>512</v>
      </c>
      <c r="O40" s="49"/>
      <c r="P40" s="49" t="s">
        <v>31</v>
      </c>
      <c r="Q40" s="49" t="s">
        <v>29</v>
      </c>
      <c r="R40" s="49">
        <v>3</v>
      </c>
      <c r="S40" s="50">
        <f t="shared" si="17"/>
        <v>33.333333333333329</v>
      </c>
      <c r="T40" s="49">
        <v>3</v>
      </c>
      <c r="U40" s="50">
        <f t="shared" si="18"/>
        <v>33.333333333333329</v>
      </c>
      <c r="V40" s="49" t="s">
        <v>791</v>
      </c>
      <c r="W40" s="49">
        <v>0</v>
      </c>
      <c r="X40" s="50">
        <f t="shared" si="19"/>
        <v>0</v>
      </c>
      <c r="Y40" s="51" t="str">
        <f t="shared" si="20"/>
        <v>No</v>
      </c>
      <c r="Z40" s="49" t="s">
        <v>35</v>
      </c>
      <c r="AA40" s="49" t="s">
        <v>23</v>
      </c>
      <c r="AB40" s="49" t="s">
        <v>23</v>
      </c>
      <c r="AC40" s="46" t="s">
        <v>26</v>
      </c>
      <c r="AD40" s="46" t="s">
        <v>27</v>
      </c>
      <c r="AE40" s="46" t="s">
        <v>155</v>
      </c>
      <c r="AF40" s="46" t="s">
        <v>29</v>
      </c>
      <c r="AG40" s="103">
        <v>182408</v>
      </c>
      <c r="AH40" s="52">
        <v>136379</v>
      </c>
      <c r="AI40" s="52">
        <v>136379</v>
      </c>
      <c r="AJ40" s="102">
        <v>18.670000000000002</v>
      </c>
      <c r="AK40" s="104">
        <v>56.010000000000005</v>
      </c>
      <c r="AL40" s="102">
        <v>18.670000000000002</v>
      </c>
      <c r="AM40" s="102"/>
      <c r="AN40" s="53">
        <f t="shared" si="21"/>
        <v>56.010000000000005</v>
      </c>
      <c r="AO40" s="53">
        <v>13.97</v>
      </c>
      <c r="AP40" s="102">
        <f t="shared" si="12"/>
        <v>46029</v>
      </c>
      <c r="AQ40" s="102">
        <f t="shared" si="13"/>
        <v>25.23409061006096</v>
      </c>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102"/>
      <c r="BN40" s="102"/>
      <c r="BO40" s="102"/>
      <c r="BP40" s="102"/>
      <c r="BQ40" s="102"/>
      <c r="BR40" s="102"/>
      <c r="BS40" s="54" t="s">
        <v>23</v>
      </c>
      <c r="BT40" s="45" t="str">
        <f t="shared" si="22"/>
        <v>Yes</v>
      </c>
      <c r="BU40" s="45" t="str">
        <f t="shared" si="23"/>
        <v>Yes</v>
      </c>
      <c r="BV40" s="45" t="str">
        <f t="shared" si="24"/>
        <v>No</v>
      </c>
      <c r="BW40" s="55">
        <f t="shared" ref="BW40:BX44" si="28">(47662/(47662+40517))*100</f>
        <v>54.051418138105447</v>
      </c>
      <c r="BX40" s="55">
        <f t="shared" si="28"/>
        <v>54.051418138105447</v>
      </c>
      <c r="BY40" s="55">
        <v>52.121418138105447</v>
      </c>
      <c r="BZ40" s="55">
        <f>BX40-(0.0386*100/2)</f>
        <v>52.121418138105447</v>
      </c>
      <c r="CA40" s="45">
        <v>2012</v>
      </c>
      <c r="CB40" s="55">
        <f t="shared" si="25"/>
        <v>36.433799957255822</v>
      </c>
      <c r="CC40" s="46" t="s">
        <v>178</v>
      </c>
      <c r="CD40" s="46" t="s">
        <v>179</v>
      </c>
      <c r="CE40" s="46" t="s">
        <v>179</v>
      </c>
      <c r="CF40" s="46">
        <v>1</v>
      </c>
      <c r="CG40" s="46" t="str">
        <f t="shared" si="26"/>
        <v>No</v>
      </c>
      <c r="CH40" s="46" t="s">
        <v>35</v>
      </c>
      <c r="CI40" s="56">
        <v>25</v>
      </c>
      <c r="CJ40" s="46">
        <v>20</v>
      </c>
      <c r="CK40" s="46">
        <v>100</v>
      </c>
      <c r="CL40" s="49" t="s">
        <v>29</v>
      </c>
      <c r="CM40" s="50">
        <v>0</v>
      </c>
      <c r="CN40" s="50"/>
      <c r="CO40" s="50"/>
      <c r="CP40" s="46" t="s">
        <v>23</v>
      </c>
      <c r="CQ40" s="46" t="s">
        <v>24</v>
      </c>
      <c r="CR40" s="46">
        <v>5</v>
      </c>
      <c r="CS40" s="46" t="s">
        <v>854</v>
      </c>
      <c r="CT40" s="46" t="s">
        <v>53</v>
      </c>
      <c r="CU40" s="46" t="s">
        <v>29</v>
      </c>
      <c r="CV40" s="46" t="s">
        <v>23</v>
      </c>
      <c r="CW40" s="46" t="s">
        <v>23</v>
      </c>
      <c r="CX40" s="49" t="s">
        <v>560</v>
      </c>
      <c r="CY40" s="49" t="s">
        <v>59</v>
      </c>
      <c r="CZ40" s="49">
        <v>0</v>
      </c>
      <c r="DA40" s="49">
        <v>0</v>
      </c>
      <c r="DB40" s="57">
        <v>187160</v>
      </c>
      <c r="DC40" s="58">
        <v>41.023723017738831</v>
      </c>
      <c r="DD40" s="58">
        <v>3.1924556529172898</v>
      </c>
      <c r="DE40" s="58">
        <v>35.376148749732849</v>
      </c>
      <c r="DF40" s="58">
        <v>18.184975422098741</v>
      </c>
      <c r="DG40" s="58">
        <v>2.2226971575122878</v>
      </c>
      <c r="DH40" s="58">
        <v>58.976276982261169</v>
      </c>
      <c r="DI40" s="45" t="s">
        <v>35</v>
      </c>
      <c r="DJ40" s="59" t="str">
        <f t="shared" si="27"/>
        <v>No single majority group</v>
      </c>
      <c r="DK40" s="60">
        <v>187160</v>
      </c>
      <c r="DL40" s="58">
        <v>41.023723017738831</v>
      </c>
      <c r="DM40" s="58">
        <v>3.1924556529172898</v>
      </c>
      <c r="DN40" s="58">
        <v>35.376148749732849</v>
      </c>
      <c r="DO40" s="58">
        <v>58.976276982261169</v>
      </c>
      <c r="DP40" s="66">
        <v>50.3</v>
      </c>
      <c r="DQ40" s="67">
        <v>59707</v>
      </c>
      <c r="DR40" s="53">
        <v>16.899999999999999</v>
      </c>
      <c r="DS40" s="58">
        <v>71.8</v>
      </c>
      <c r="DT40" s="53">
        <v>47.4</v>
      </c>
      <c r="DU40" s="55">
        <v>3.41</v>
      </c>
      <c r="DV40" s="102">
        <v>33.299999999999997</v>
      </c>
      <c r="DW40" s="53">
        <v>75.5</v>
      </c>
      <c r="DX40" s="53">
        <v>90.12</v>
      </c>
      <c r="DY40" s="53">
        <v>64.702699999999993</v>
      </c>
      <c r="DZ40" s="63"/>
    </row>
    <row r="41" spans="1:130" s="5" customFormat="1" ht="14.25" hidden="1" customHeight="1">
      <c r="A41" s="45">
        <v>1025</v>
      </c>
      <c r="B41" s="46" t="s">
        <v>52</v>
      </c>
      <c r="C41" s="47">
        <v>2012</v>
      </c>
      <c r="D41" s="47" t="s">
        <v>21</v>
      </c>
      <c r="E41" s="46" t="s">
        <v>22</v>
      </c>
      <c r="F41" s="46">
        <v>4</v>
      </c>
      <c r="G41" s="48">
        <v>18000</v>
      </c>
      <c r="H41" s="46" t="s">
        <v>332</v>
      </c>
      <c r="I41" s="46">
        <v>2</v>
      </c>
      <c r="J41" s="46">
        <v>9</v>
      </c>
      <c r="K41" s="49" t="s">
        <v>58</v>
      </c>
      <c r="L41" s="49" t="s">
        <v>30</v>
      </c>
      <c r="M41" s="49" t="s">
        <v>29</v>
      </c>
      <c r="N41" s="49" t="s">
        <v>512</v>
      </c>
      <c r="O41" s="49"/>
      <c r="P41" s="49" t="s">
        <v>31</v>
      </c>
      <c r="Q41" s="49" t="s">
        <v>29</v>
      </c>
      <c r="R41" s="49">
        <v>3</v>
      </c>
      <c r="S41" s="50">
        <f t="shared" si="17"/>
        <v>33.333333333333329</v>
      </c>
      <c r="T41" s="49">
        <v>3</v>
      </c>
      <c r="U41" s="50">
        <f t="shared" si="18"/>
        <v>33.333333333333329</v>
      </c>
      <c r="V41" s="49" t="s">
        <v>791</v>
      </c>
      <c r="W41" s="49">
        <v>0</v>
      </c>
      <c r="X41" s="50">
        <f t="shared" si="19"/>
        <v>0</v>
      </c>
      <c r="Y41" s="51" t="str">
        <f t="shared" si="20"/>
        <v>No</v>
      </c>
      <c r="Z41" s="49" t="s">
        <v>35</v>
      </c>
      <c r="AA41" s="49" t="s">
        <v>23</v>
      </c>
      <c r="AB41" s="49" t="s">
        <v>23</v>
      </c>
      <c r="AC41" s="46" t="s">
        <v>26</v>
      </c>
      <c r="AD41" s="46" t="s">
        <v>27</v>
      </c>
      <c r="AE41" s="46" t="s">
        <v>155</v>
      </c>
      <c r="AF41" s="46" t="s">
        <v>29</v>
      </c>
      <c r="AG41" s="103">
        <v>182408</v>
      </c>
      <c r="AH41" s="52">
        <v>136379</v>
      </c>
      <c r="AI41" s="52">
        <v>136379</v>
      </c>
      <c r="AJ41" s="102">
        <v>19.309999999999999</v>
      </c>
      <c r="AK41" s="104">
        <v>57.93</v>
      </c>
      <c r="AL41" s="102">
        <v>19.309999999999999</v>
      </c>
      <c r="AM41" s="102"/>
      <c r="AN41" s="53">
        <f t="shared" si="21"/>
        <v>57.93</v>
      </c>
      <c r="AO41" s="53">
        <v>13.97</v>
      </c>
      <c r="AP41" s="102">
        <f t="shared" si="12"/>
        <v>46029</v>
      </c>
      <c r="AQ41" s="102">
        <f t="shared" si="13"/>
        <v>25.23409061006096</v>
      </c>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102"/>
      <c r="BN41" s="102"/>
      <c r="BO41" s="102"/>
      <c r="BP41" s="102"/>
      <c r="BQ41" s="102"/>
      <c r="BR41" s="102"/>
      <c r="BS41" s="54" t="s">
        <v>23</v>
      </c>
      <c r="BT41" s="45" t="str">
        <f t="shared" si="22"/>
        <v>Yes</v>
      </c>
      <c r="BU41" s="45" t="str">
        <f t="shared" si="23"/>
        <v>Yes</v>
      </c>
      <c r="BV41" s="45" t="str">
        <f t="shared" si="24"/>
        <v>No</v>
      </c>
      <c r="BW41" s="55">
        <f t="shared" si="28"/>
        <v>54.051418138105447</v>
      </c>
      <c r="BX41" s="55">
        <f t="shared" si="28"/>
        <v>54.051418138105447</v>
      </c>
      <c r="BY41" s="55">
        <v>52.121418138105447</v>
      </c>
      <c r="BZ41" s="55">
        <f>BX41-(0.0386*100/2)</f>
        <v>52.121418138105447</v>
      </c>
      <c r="CA41" s="45">
        <v>2012</v>
      </c>
      <c r="CB41" s="55">
        <f t="shared" si="25"/>
        <v>36.433799957255822</v>
      </c>
      <c r="CC41" s="46" t="s">
        <v>178</v>
      </c>
      <c r="CD41" s="46" t="s">
        <v>179</v>
      </c>
      <c r="CE41" s="46" t="s">
        <v>179</v>
      </c>
      <c r="CF41" s="46">
        <v>1</v>
      </c>
      <c r="CG41" s="46" t="str">
        <f t="shared" si="26"/>
        <v>No</v>
      </c>
      <c r="CH41" s="46" t="s">
        <v>35</v>
      </c>
      <c r="CI41" s="56">
        <v>25</v>
      </c>
      <c r="CJ41" s="46">
        <v>20</v>
      </c>
      <c r="CK41" s="46">
        <v>100</v>
      </c>
      <c r="CL41" s="49" t="s">
        <v>29</v>
      </c>
      <c r="CM41" s="50">
        <v>0</v>
      </c>
      <c r="CN41" s="50"/>
      <c r="CO41" s="50"/>
      <c r="CP41" s="46" t="s">
        <v>23</v>
      </c>
      <c r="CQ41" s="46" t="s">
        <v>24</v>
      </c>
      <c r="CR41" s="46">
        <v>5</v>
      </c>
      <c r="CS41" s="46" t="s">
        <v>854</v>
      </c>
      <c r="CT41" s="46" t="s">
        <v>53</v>
      </c>
      <c r="CU41" s="46" t="s">
        <v>29</v>
      </c>
      <c r="CV41" s="46" t="s">
        <v>23</v>
      </c>
      <c r="CW41" s="46" t="s">
        <v>23</v>
      </c>
      <c r="CX41" s="49" t="s">
        <v>560</v>
      </c>
      <c r="CY41" s="49" t="s">
        <v>59</v>
      </c>
      <c r="CZ41" s="49">
        <v>0</v>
      </c>
      <c r="DA41" s="49">
        <v>0</v>
      </c>
      <c r="DB41" s="57">
        <v>187160</v>
      </c>
      <c r="DC41" s="58">
        <v>41.023723017738831</v>
      </c>
      <c r="DD41" s="58">
        <v>3.1924556529172898</v>
      </c>
      <c r="DE41" s="58">
        <v>35.376148749732849</v>
      </c>
      <c r="DF41" s="58">
        <v>18.184975422098741</v>
      </c>
      <c r="DG41" s="58">
        <v>2.2226971575122878</v>
      </c>
      <c r="DH41" s="58">
        <v>58.976276982261169</v>
      </c>
      <c r="DI41" s="45" t="s">
        <v>35</v>
      </c>
      <c r="DJ41" s="59" t="str">
        <f t="shared" si="27"/>
        <v>No single majority group</v>
      </c>
      <c r="DK41" s="60">
        <v>187160</v>
      </c>
      <c r="DL41" s="58">
        <v>41.023723017738831</v>
      </c>
      <c r="DM41" s="58">
        <v>3.1924556529172898</v>
      </c>
      <c r="DN41" s="58">
        <v>35.376148749732849</v>
      </c>
      <c r="DO41" s="58">
        <v>58.976276982261169</v>
      </c>
      <c r="DP41" s="66">
        <v>50.3</v>
      </c>
      <c r="DQ41" s="67">
        <v>59707</v>
      </c>
      <c r="DR41" s="53">
        <v>16.899999999999999</v>
      </c>
      <c r="DS41" s="58">
        <v>71.8</v>
      </c>
      <c r="DT41" s="53">
        <v>47.4</v>
      </c>
      <c r="DU41" s="55">
        <v>3.41</v>
      </c>
      <c r="DV41" s="102">
        <v>33.299999999999997</v>
      </c>
      <c r="DW41" s="53">
        <v>75.5</v>
      </c>
      <c r="DX41" s="53">
        <v>90.12</v>
      </c>
      <c r="DY41" s="53">
        <v>64.702699999999993</v>
      </c>
      <c r="DZ41" s="63"/>
    </row>
    <row r="42" spans="1:130" s="5" customFormat="1" ht="14.25" hidden="1" customHeight="1">
      <c r="A42" s="45">
        <v>1021</v>
      </c>
      <c r="B42" s="46" t="s">
        <v>52</v>
      </c>
      <c r="C42" s="47">
        <v>2014</v>
      </c>
      <c r="D42" s="47" t="s">
        <v>21</v>
      </c>
      <c r="E42" s="46" t="s">
        <v>22</v>
      </c>
      <c r="F42" s="46">
        <v>4</v>
      </c>
      <c r="G42" s="48">
        <v>18000</v>
      </c>
      <c r="H42" s="46" t="s">
        <v>332</v>
      </c>
      <c r="I42" s="46">
        <v>2</v>
      </c>
      <c r="J42" s="46">
        <v>8</v>
      </c>
      <c r="K42" s="49" t="s">
        <v>54</v>
      </c>
      <c r="L42" s="49" t="s">
        <v>30</v>
      </c>
      <c r="M42" s="49" t="s">
        <v>29</v>
      </c>
      <c r="N42" s="49" t="s">
        <v>618</v>
      </c>
      <c r="O42" s="49">
        <v>2014</v>
      </c>
      <c r="P42" s="49" t="s">
        <v>857</v>
      </c>
      <c r="Q42" s="49" t="s">
        <v>35</v>
      </c>
      <c r="R42" s="49">
        <v>3</v>
      </c>
      <c r="S42" s="50">
        <f t="shared" si="17"/>
        <v>37.5</v>
      </c>
      <c r="T42" s="49">
        <v>4</v>
      </c>
      <c r="U42" s="50">
        <f t="shared" si="18"/>
        <v>50</v>
      </c>
      <c r="V42" s="49" t="s">
        <v>792</v>
      </c>
      <c r="W42" s="49">
        <v>1</v>
      </c>
      <c r="X42" s="50">
        <f t="shared" si="19"/>
        <v>12.5</v>
      </c>
      <c r="Y42" s="51" t="str">
        <f t="shared" si="20"/>
        <v>No</v>
      </c>
      <c r="Z42" s="49" t="s">
        <v>29</v>
      </c>
      <c r="AA42" s="49" t="s">
        <v>35</v>
      </c>
      <c r="AB42" s="45" t="s">
        <v>35</v>
      </c>
      <c r="AC42" s="46" t="s">
        <v>26</v>
      </c>
      <c r="AD42" s="46" t="s">
        <v>27</v>
      </c>
      <c r="AE42" s="46" t="s">
        <v>73</v>
      </c>
      <c r="AF42" s="46" t="s">
        <v>29</v>
      </c>
      <c r="AG42" s="103">
        <v>97602</v>
      </c>
      <c r="AH42" s="52">
        <v>78324</v>
      </c>
      <c r="AI42" s="52">
        <v>78324</v>
      </c>
      <c r="AJ42" s="102">
        <v>19.791</v>
      </c>
      <c r="AK42" s="104">
        <v>59.373000000000005</v>
      </c>
      <c r="AL42" s="102">
        <v>19.791</v>
      </c>
      <c r="AM42" s="102"/>
      <c r="AN42" s="53">
        <f t="shared" si="21"/>
        <v>59.373000000000005</v>
      </c>
      <c r="AO42" s="53">
        <v>19.788</v>
      </c>
      <c r="AP42" s="102">
        <f t="shared" si="12"/>
        <v>19278</v>
      </c>
      <c r="AQ42" s="102">
        <f t="shared" si="13"/>
        <v>19.751644433515704</v>
      </c>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2"/>
      <c r="BS42" s="54" t="s">
        <v>23</v>
      </c>
      <c r="BT42" s="45" t="str">
        <f t="shared" si="22"/>
        <v>Yes</v>
      </c>
      <c r="BU42" s="45" t="str">
        <f t="shared" si="23"/>
        <v>Yes</v>
      </c>
      <c r="BV42" s="45" t="str">
        <f t="shared" si="24"/>
        <v>Yes</v>
      </c>
      <c r="BW42" s="55">
        <f t="shared" si="28"/>
        <v>54.051418138105447</v>
      </c>
      <c r="BX42" s="55">
        <f t="shared" si="28"/>
        <v>54.051418138105447</v>
      </c>
      <c r="BY42" s="55">
        <v>52.121418138105447</v>
      </c>
      <c r="BZ42" s="55">
        <f>BX42-(0.0386*100/2)</f>
        <v>52.121418138105447</v>
      </c>
      <c r="CA42" s="45">
        <v>2012</v>
      </c>
      <c r="CB42" s="55">
        <f t="shared" si="25"/>
        <v>20.924342808292369</v>
      </c>
      <c r="CC42" s="46" t="s">
        <v>178</v>
      </c>
      <c r="CD42" s="46" t="s">
        <v>179</v>
      </c>
      <c r="CE42" s="46" t="s">
        <v>179</v>
      </c>
      <c r="CF42" s="46">
        <v>1</v>
      </c>
      <c r="CG42" s="46" t="str">
        <f t="shared" si="26"/>
        <v>No</v>
      </c>
      <c r="CH42" s="46" t="s">
        <v>35</v>
      </c>
      <c r="CI42" s="56">
        <v>25</v>
      </c>
      <c r="CJ42" s="46">
        <v>20</v>
      </c>
      <c r="CK42" s="46">
        <v>100</v>
      </c>
      <c r="CL42" s="49" t="s">
        <v>29</v>
      </c>
      <c r="CM42" s="50">
        <v>0</v>
      </c>
      <c r="CN42" s="102"/>
      <c r="CO42" s="50"/>
      <c r="CP42" s="46" t="s">
        <v>23</v>
      </c>
      <c r="CQ42" s="46" t="s">
        <v>24</v>
      </c>
      <c r="CR42" s="46">
        <v>5</v>
      </c>
      <c r="CS42" s="46" t="s">
        <v>854</v>
      </c>
      <c r="CT42" s="46" t="s">
        <v>53</v>
      </c>
      <c r="CU42" s="46" t="s">
        <v>29</v>
      </c>
      <c r="CV42" s="46" t="s">
        <v>23</v>
      </c>
      <c r="CW42" s="46" t="s">
        <v>23</v>
      </c>
      <c r="CX42" s="49" t="s">
        <v>560</v>
      </c>
      <c r="CY42" s="49" t="s">
        <v>55</v>
      </c>
      <c r="CZ42" s="49">
        <v>0</v>
      </c>
      <c r="DA42" s="49">
        <v>0</v>
      </c>
      <c r="DB42" s="57">
        <v>187160</v>
      </c>
      <c r="DC42" s="58">
        <v>41.023723017738831</v>
      </c>
      <c r="DD42" s="58">
        <v>3.1924556529172898</v>
      </c>
      <c r="DE42" s="58">
        <v>35.376148749732849</v>
      </c>
      <c r="DF42" s="58">
        <v>18.184975422098741</v>
      </c>
      <c r="DG42" s="58">
        <v>2.2226971575122878</v>
      </c>
      <c r="DH42" s="58">
        <v>58.976276982261169</v>
      </c>
      <c r="DI42" s="45" t="s">
        <v>35</v>
      </c>
      <c r="DJ42" s="59" t="str">
        <f t="shared" si="27"/>
        <v>No single majority group</v>
      </c>
      <c r="DK42" s="60">
        <v>187160</v>
      </c>
      <c r="DL42" s="58">
        <v>41.023723017738831</v>
      </c>
      <c r="DM42" s="58">
        <v>3.1924556529172898</v>
      </c>
      <c r="DN42" s="58">
        <v>35.376148749732849</v>
      </c>
      <c r="DO42" s="58">
        <v>58.976276982261169</v>
      </c>
      <c r="DP42" s="66">
        <v>50.3</v>
      </c>
      <c r="DQ42" s="67">
        <v>59707</v>
      </c>
      <c r="DR42" s="53">
        <v>16.899999999999999</v>
      </c>
      <c r="DS42" s="58">
        <v>71.8</v>
      </c>
      <c r="DT42" s="53">
        <v>47.4</v>
      </c>
      <c r="DU42" s="55">
        <v>3.41</v>
      </c>
      <c r="DV42" s="50">
        <v>33.299999999999997</v>
      </c>
      <c r="DW42" s="53">
        <v>75.5</v>
      </c>
      <c r="DX42" s="53">
        <v>90.12</v>
      </c>
      <c r="DY42" s="53">
        <v>64.702699999999993</v>
      </c>
      <c r="DZ42" s="63"/>
    </row>
    <row r="43" spans="1:130" s="5" customFormat="1" ht="14.25" hidden="1" customHeight="1">
      <c r="A43" s="45">
        <v>1022</v>
      </c>
      <c r="B43" s="46" t="s">
        <v>52</v>
      </c>
      <c r="C43" s="47">
        <v>2014</v>
      </c>
      <c r="D43" s="47" t="s">
        <v>21</v>
      </c>
      <c r="E43" s="46" t="s">
        <v>22</v>
      </c>
      <c r="F43" s="46">
        <v>4</v>
      </c>
      <c r="G43" s="48">
        <v>18000</v>
      </c>
      <c r="H43" s="46" t="s">
        <v>332</v>
      </c>
      <c r="I43" s="46">
        <v>2</v>
      </c>
      <c r="J43" s="46">
        <v>8</v>
      </c>
      <c r="K43" s="49" t="s">
        <v>56</v>
      </c>
      <c r="L43" s="49" t="s">
        <v>40</v>
      </c>
      <c r="M43" s="49" t="s">
        <v>35</v>
      </c>
      <c r="N43" s="49" t="s">
        <v>513</v>
      </c>
      <c r="O43" s="49">
        <v>2010</v>
      </c>
      <c r="P43" s="49" t="s">
        <v>31</v>
      </c>
      <c r="Q43" s="49" t="s">
        <v>29</v>
      </c>
      <c r="R43" s="49">
        <v>3</v>
      </c>
      <c r="S43" s="50">
        <f t="shared" si="17"/>
        <v>37.5</v>
      </c>
      <c r="T43" s="49">
        <v>4</v>
      </c>
      <c r="U43" s="50">
        <f t="shared" si="18"/>
        <v>50</v>
      </c>
      <c r="V43" s="49" t="s">
        <v>792</v>
      </c>
      <c r="W43" s="49">
        <v>1</v>
      </c>
      <c r="X43" s="50">
        <f t="shared" si="19"/>
        <v>12.5</v>
      </c>
      <c r="Y43" s="51" t="str">
        <f t="shared" si="20"/>
        <v>No</v>
      </c>
      <c r="Z43" s="49" t="s">
        <v>29</v>
      </c>
      <c r="AA43" s="49" t="s">
        <v>29</v>
      </c>
      <c r="AB43" s="45" t="s">
        <v>35</v>
      </c>
      <c r="AC43" s="46" t="s">
        <v>26</v>
      </c>
      <c r="AD43" s="46" t="s">
        <v>27</v>
      </c>
      <c r="AE43" s="46" t="s">
        <v>73</v>
      </c>
      <c r="AF43" s="46" t="s">
        <v>29</v>
      </c>
      <c r="AG43" s="103">
        <v>97602</v>
      </c>
      <c r="AH43" s="52">
        <v>78324</v>
      </c>
      <c r="AI43" s="52">
        <v>78324</v>
      </c>
      <c r="AJ43" s="102">
        <v>20.64</v>
      </c>
      <c r="AK43" s="104">
        <v>61.92</v>
      </c>
      <c r="AL43" s="102">
        <v>20.64</v>
      </c>
      <c r="AM43" s="102"/>
      <c r="AN43" s="53">
        <f t="shared" si="21"/>
        <v>61.92</v>
      </c>
      <c r="AO43" s="53">
        <v>19.788</v>
      </c>
      <c r="AP43" s="102">
        <f t="shared" si="12"/>
        <v>19278</v>
      </c>
      <c r="AQ43" s="102">
        <f t="shared" si="13"/>
        <v>19.751644433515704</v>
      </c>
      <c r="AR43" s="102"/>
      <c r="AS43" s="102"/>
      <c r="AT43" s="102"/>
      <c r="AU43" s="102"/>
      <c r="AV43" s="50"/>
      <c r="AW43" s="50"/>
      <c r="AX43" s="102"/>
      <c r="AY43" s="102"/>
      <c r="AZ43" s="102"/>
      <c r="BA43" s="102"/>
      <c r="BB43" s="102"/>
      <c r="BC43" s="102"/>
      <c r="BD43" s="102"/>
      <c r="BE43" s="102"/>
      <c r="BF43" s="102"/>
      <c r="BG43" s="102"/>
      <c r="BH43" s="102"/>
      <c r="BI43" s="102"/>
      <c r="BJ43" s="50"/>
      <c r="BK43" s="50"/>
      <c r="BL43" s="50"/>
      <c r="BM43" s="50"/>
      <c r="BN43" s="102"/>
      <c r="BO43" s="102"/>
      <c r="BP43" s="102"/>
      <c r="BQ43" s="102"/>
      <c r="BR43" s="102"/>
      <c r="BS43" s="54" t="s">
        <v>23</v>
      </c>
      <c r="BT43" s="45" t="str">
        <f t="shared" si="22"/>
        <v>Yes</v>
      </c>
      <c r="BU43" s="45" t="str">
        <f t="shared" si="23"/>
        <v>Yes</v>
      </c>
      <c r="BV43" s="45" t="str">
        <f t="shared" si="24"/>
        <v>Yes</v>
      </c>
      <c r="BW43" s="55">
        <f t="shared" si="28"/>
        <v>54.051418138105447</v>
      </c>
      <c r="BX43" s="55">
        <f t="shared" si="28"/>
        <v>54.051418138105447</v>
      </c>
      <c r="BY43" s="55">
        <v>52.121418138105447</v>
      </c>
      <c r="BZ43" s="55">
        <f>BX43-(0.0386*100/2)</f>
        <v>52.121418138105447</v>
      </c>
      <c r="CA43" s="45">
        <v>2012</v>
      </c>
      <c r="CB43" s="55">
        <f t="shared" si="25"/>
        <v>20.924342808292369</v>
      </c>
      <c r="CC43" s="46" t="s">
        <v>178</v>
      </c>
      <c r="CD43" s="46" t="s">
        <v>179</v>
      </c>
      <c r="CE43" s="46" t="s">
        <v>179</v>
      </c>
      <c r="CF43" s="46">
        <v>1</v>
      </c>
      <c r="CG43" s="46" t="str">
        <f t="shared" si="26"/>
        <v>No</v>
      </c>
      <c r="CH43" s="46" t="s">
        <v>35</v>
      </c>
      <c r="CI43" s="56">
        <v>25</v>
      </c>
      <c r="CJ43" s="46">
        <v>20</v>
      </c>
      <c r="CK43" s="46">
        <v>100</v>
      </c>
      <c r="CL43" s="49" t="s">
        <v>29</v>
      </c>
      <c r="CM43" s="50">
        <v>0</v>
      </c>
      <c r="CN43" s="50"/>
      <c r="CO43" s="50"/>
      <c r="CP43" s="46" t="s">
        <v>23</v>
      </c>
      <c r="CQ43" s="46" t="s">
        <v>24</v>
      </c>
      <c r="CR43" s="46">
        <v>5</v>
      </c>
      <c r="CS43" s="46" t="s">
        <v>854</v>
      </c>
      <c r="CT43" s="46" t="s">
        <v>53</v>
      </c>
      <c r="CU43" s="46" t="s">
        <v>29</v>
      </c>
      <c r="CV43" s="46" t="s">
        <v>23</v>
      </c>
      <c r="CW43" s="46" t="s">
        <v>23</v>
      </c>
      <c r="CX43" s="49" t="s">
        <v>560</v>
      </c>
      <c r="CY43" s="49" t="s">
        <v>55</v>
      </c>
      <c r="CZ43" s="49">
        <v>0</v>
      </c>
      <c r="DA43" s="49">
        <v>0</v>
      </c>
      <c r="DB43" s="57">
        <v>187160</v>
      </c>
      <c r="DC43" s="58">
        <v>41.023723017738831</v>
      </c>
      <c r="DD43" s="58">
        <v>3.1924556529172898</v>
      </c>
      <c r="DE43" s="58">
        <v>35.376148749732849</v>
      </c>
      <c r="DF43" s="58">
        <v>18.184975422098741</v>
      </c>
      <c r="DG43" s="58">
        <v>2.2226971575122878</v>
      </c>
      <c r="DH43" s="58">
        <v>58.976276982261169</v>
      </c>
      <c r="DI43" s="45" t="s">
        <v>35</v>
      </c>
      <c r="DJ43" s="59" t="str">
        <f t="shared" si="27"/>
        <v>No single majority group</v>
      </c>
      <c r="DK43" s="60">
        <v>187160</v>
      </c>
      <c r="DL43" s="58">
        <v>41.023723017738831</v>
      </c>
      <c r="DM43" s="58">
        <v>3.1924556529172898</v>
      </c>
      <c r="DN43" s="58">
        <v>35.376148749732849</v>
      </c>
      <c r="DO43" s="58">
        <v>58.976276982261169</v>
      </c>
      <c r="DP43" s="66">
        <v>50.3</v>
      </c>
      <c r="DQ43" s="67">
        <v>59707</v>
      </c>
      <c r="DR43" s="53">
        <v>16.899999999999999</v>
      </c>
      <c r="DS43" s="58">
        <v>71.8</v>
      </c>
      <c r="DT43" s="53">
        <v>47.4</v>
      </c>
      <c r="DU43" s="55">
        <v>3.41</v>
      </c>
      <c r="DV43" s="50">
        <v>33.299999999999997</v>
      </c>
      <c r="DW43" s="53">
        <v>75.5</v>
      </c>
      <c r="DX43" s="53">
        <v>90.12</v>
      </c>
      <c r="DY43" s="53">
        <v>64.702699999999993</v>
      </c>
      <c r="DZ43" s="63"/>
    </row>
    <row r="44" spans="1:130" s="5" customFormat="1" ht="14.25" hidden="1" customHeight="1">
      <c r="A44" s="45">
        <v>1023</v>
      </c>
      <c r="B44" s="46" t="s">
        <v>52</v>
      </c>
      <c r="C44" s="47">
        <v>2014</v>
      </c>
      <c r="D44" s="47" t="s">
        <v>38</v>
      </c>
      <c r="E44" s="46" t="s">
        <v>22</v>
      </c>
      <c r="F44" s="46">
        <v>4</v>
      </c>
      <c r="G44" s="48">
        <v>17000</v>
      </c>
      <c r="H44" s="46" t="s">
        <v>332</v>
      </c>
      <c r="I44" s="46">
        <v>1</v>
      </c>
      <c r="J44" s="46">
        <v>4</v>
      </c>
      <c r="K44" s="49" t="s">
        <v>57</v>
      </c>
      <c r="L44" s="49" t="s">
        <v>30</v>
      </c>
      <c r="M44" s="49" t="s">
        <v>29</v>
      </c>
      <c r="N44" s="49" t="s">
        <v>513</v>
      </c>
      <c r="O44" s="49">
        <v>2010</v>
      </c>
      <c r="P44" s="49" t="s">
        <v>31</v>
      </c>
      <c r="Q44" s="49" t="s">
        <v>29</v>
      </c>
      <c r="R44" s="49">
        <v>2</v>
      </c>
      <c r="S44" s="50">
        <f t="shared" si="17"/>
        <v>50</v>
      </c>
      <c r="T44" s="49">
        <v>1</v>
      </c>
      <c r="U44" s="50">
        <f t="shared" si="18"/>
        <v>25</v>
      </c>
      <c r="V44" s="49" t="s">
        <v>173</v>
      </c>
      <c r="W44" s="49">
        <v>1</v>
      </c>
      <c r="X44" s="50">
        <f t="shared" si="19"/>
        <v>25</v>
      </c>
      <c r="Y44" s="51" t="str">
        <f t="shared" si="20"/>
        <v>No</v>
      </c>
      <c r="Z44" s="49" t="s">
        <v>29</v>
      </c>
      <c r="AA44" s="49" t="s">
        <v>29</v>
      </c>
      <c r="AB44" s="49" t="s">
        <v>29</v>
      </c>
      <c r="AC44" s="46" t="s">
        <v>26</v>
      </c>
      <c r="AD44" s="46" t="s">
        <v>27</v>
      </c>
      <c r="AE44" s="46" t="s">
        <v>73</v>
      </c>
      <c r="AF44" s="46" t="s">
        <v>29</v>
      </c>
      <c r="AG44" s="103">
        <v>48801</v>
      </c>
      <c r="AH44" s="52">
        <v>45198</v>
      </c>
      <c r="AI44" s="52">
        <v>45198</v>
      </c>
      <c r="AJ44" s="102">
        <v>53.36</v>
      </c>
      <c r="AK44" s="104">
        <v>106.72</v>
      </c>
      <c r="AL44" s="102">
        <v>53.36</v>
      </c>
      <c r="AM44" s="102"/>
      <c r="AN44" s="53">
        <f t="shared" si="21"/>
        <v>106.72</v>
      </c>
      <c r="AO44" s="53">
        <v>20.43</v>
      </c>
      <c r="AP44" s="102">
        <f t="shared" si="12"/>
        <v>3603</v>
      </c>
      <c r="AQ44" s="102">
        <f t="shared" si="13"/>
        <v>7.3830454293969376</v>
      </c>
      <c r="AR44" s="102"/>
      <c r="AS44" s="102"/>
      <c r="AT44" s="102"/>
      <c r="AU44" s="102"/>
      <c r="AV44" s="102"/>
      <c r="AW44" s="102"/>
      <c r="AX44" s="102"/>
      <c r="AY44" s="102"/>
      <c r="AZ44" s="102"/>
      <c r="BA44" s="102"/>
      <c r="BB44" s="102"/>
      <c r="BC44" s="102"/>
      <c r="BD44" s="102"/>
      <c r="BE44" s="102"/>
      <c r="BF44" s="102"/>
      <c r="BG44" s="102"/>
      <c r="BH44" s="102"/>
      <c r="BI44" s="102"/>
      <c r="BJ44" s="102"/>
      <c r="BK44" s="102"/>
      <c r="BL44" s="102"/>
      <c r="BM44" s="102"/>
      <c r="BN44" s="102"/>
      <c r="BO44" s="102"/>
      <c r="BP44" s="102"/>
      <c r="BQ44" s="102"/>
      <c r="BR44" s="102"/>
      <c r="BS44" s="54" t="s">
        <v>23</v>
      </c>
      <c r="BT44" s="45" t="str">
        <f t="shared" si="22"/>
        <v>No</v>
      </c>
      <c r="BU44" s="45" t="str">
        <f t="shared" si="23"/>
        <v>No</v>
      </c>
      <c r="BV44" s="45" t="str">
        <f t="shared" si="24"/>
        <v>No</v>
      </c>
      <c r="BW44" s="55">
        <f t="shared" si="28"/>
        <v>54.051418138105447</v>
      </c>
      <c r="BX44" s="55">
        <f t="shared" si="28"/>
        <v>54.051418138105447</v>
      </c>
      <c r="BY44" s="55">
        <v>52.121418138105447</v>
      </c>
      <c r="BZ44" s="55">
        <f>BX44-(0.0386*100/2)</f>
        <v>52.121418138105447</v>
      </c>
      <c r="CA44" s="45">
        <v>2012</v>
      </c>
      <c r="CB44" s="55">
        <f t="shared" si="25"/>
        <v>24.149390895490487</v>
      </c>
      <c r="CC44" s="46" t="s">
        <v>39</v>
      </c>
      <c r="CD44" s="46" t="s">
        <v>179</v>
      </c>
      <c r="CE44" s="46" t="s">
        <v>179</v>
      </c>
      <c r="CF44" s="46">
        <v>1</v>
      </c>
      <c r="CG44" s="46" t="str">
        <f t="shared" si="26"/>
        <v>No</v>
      </c>
      <c r="CH44" s="46" t="s">
        <v>35</v>
      </c>
      <c r="CI44" s="56">
        <v>25</v>
      </c>
      <c r="CJ44" s="46">
        <v>20</v>
      </c>
      <c r="CK44" s="46">
        <v>100</v>
      </c>
      <c r="CL44" s="49" t="s">
        <v>29</v>
      </c>
      <c r="CM44" s="50">
        <v>0</v>
      </c>
      <c r="CN44" s="50">
        <v>249423.55</v>
      </c>
      <c r="CO44" s="50" t="s">
        <v>29</v>
      </c>
      <c r="CP44" s="46" t="s">
        <v>23</v>
      </c>
      <c r="CQ44" s="46" t="s">
        <v>23</v>
      </c>
      <c r="CR44" s="46">
        <v>5</v>
      </c>
      <c r="CS44" s="46" t="s">
        <v>854</v>
      </c>
      <c r="CT44" s="46" t="s">
        <v>53</v>
      </c>
      <c r="CU44" s="46" t="s">
        <v>29</v>
      </c>
      <c r="CV44" s="46" t="s">
        <v>23</v>
      </c>
      <c r="CW44" s="46" t="s">
        <v>23</v>
      </c>
      <c r="CX44" s="49" t="s">
        <v>560</v>
      </c>
      <c r="CY44" s="49" t="s">
        <v>55</v>
      </c>
      <c r="CZ44" s="49">
        <v>0</v>
      </c>
      <c r="DA44" s="49">
        <v>0</v>
      </c>
      <c r="DB44" s="57">
        <v>187160</v>
      </c>
      <c r="DC44" s="58">
        <v>41.023723017738831</v>
      </c>
      <c r="DD44" s="58">
        <v>3.1924556529172898</v>
      </c>
      <c r="DE44" s="58">
        <v>35.376148749732849</v>
      </c>
      <c r="DF44" s="58">
        <v>18.184975422098741</v>
      </c>
      <c r="DG44" s="58">
        <v>2.2226971575122878</v>
      </c>
      <c r="DH44" s="58">
        <v>58.976276982261169</v>
      </c>
      <c r="DI44" s="45" t="s">
        <v>35</v>
      </c>
      <c r="DJ44" s="59" t="str">
        <f t="shared" si="27"/>
        <v>No single majority group</v>
      </c>
      <c r="DK44" s="60">
        <v>187160</v>
      </c>
      <c r="DL44" s="58">
        <v>41.023723017738831</v>
      </c>
      <c r="DM44" s="58">
        <v>3.1924556529172898</v>
      </c>
      <c r="DN44" s="58">
        <v>35.376148749732849</v>
      </c>
      <c r="DO44" s="58">
        <v>58.976276982261169</v>
      </c>
      <c r="DP44" s="66">
        <v>50.3</v>
      </c>
      <c r="DQ44" s="67">
        <v>59707</v>
      </c>
      <c r="DR44" s="53">
        <v>16.899999999999999</v>
      </c>
      <c r="DS44" s="58">
        <v>71.8</v>
      </c>
      <c r="DT44" s="53">
        <v>47.4</v>
      </c>
      <c r="DU44" s="55">
        <v>3.41</v>
      </c>
      <c r="DV44" s="50">
        <v>33.299999999999997</v>
      </c>
      <c r="DW44" s="53">
        <v>75.5</v>
      </c>
      <c r="DX44" s="53">
        <v>90.12</v>
      </c>
      <c r="DY44" s="53">
        <v>64.702699999999993</v>
      </c>
      <c r="DZ44" s="63"/>
    </row>
    <row r="45" spans="1:130" s="5" customFormat="1" ht="14.25" hidden="1" customHeight="1">
      <c r="A45" s="45">
        <v>1078</v>
      </c>
      <c r="B45" s="46" t="s">
        <v>69</v>
      </c>
      <c r="C45" s="47">
        <v>2000</v>
      </c>
      <c r="D45" s="47" t="s">
        <v>91</v>
      </c>
      <c r="E45" s="46" t="s">
        <v>92</v>
      </c>
      <c r="F45" s="46">
        <v>4</v>
      </c>
      <c r="G45" s="48">
        <v>30000</v>
      </c>
      <c r="H45" s="46" t="s">
        <v>332</v>
      </c>
      <c r="I45" s="46">
        <v>1</v>
      </c>
      <c r="J45" s="46">
        <v>5</v>
      </c>
      <c r="K45" s="49" t="s">
        <v>107</v>
      </c>
      <c r="L45" s="49" t="s">
        <v>40</v>
      </c>
      <c r="M45" s="49" t="s">
        <v>35</v>
      </c>
      <c r="N45" s="49" t="s">
        <v>513</v>
      </c>
      <c r="O45" s="49"/>
      <c r="P45" s="49" t="s">
        <v>201</v>
      </c>
      <c r="Q45" s="49" t="s">
        <v>35</v>
      </c>
      <c r="R45" s="49">
        <v>4</v>
      </c>
      <c r="S45" s="50">
        <f t="shared" si="17"/>
        <v>80</v>
      </c>
      <c r="T45" s="49">
        <v>3</v>
      </c>
      <c r="U45" s="50">
        <f t="shared" si="18"/>
        <v>60</v>
      </c>
      <c r="V45" s="49" t="s">
        <v>861</v>
      </c>
      <c r="W45" s="49">
        <v>3</v>
      </c>
      <c r="X45" s="50">
        <f t="shared" si="19"/>
        <v>60</v>
      </c>
      <c r="Y45" s="51" t="str">
        <f t="shared" si="20"/>
        <v>Yes</v>
      </c>
      <c r="Z45" s="45" t="s">
        <v>29</v>
      </c>
      <c r="AA45" s="49" t="s">
        <v>35</v>
      </c>
      <c r="AB45" s="45" t="s">
        <v>35</v>
      </c>
      <c r="AC45" s="46" t="s">
        <v>26</v>
      </c>
      <c r="AD45" s="46" t="s">
        <v>27</v>
      </c>
      <c r="AE45" s="46" t="s">
        <v>89</v>
      </c>
      <c r="AF45" s="46" t="s">
        <v>29</v>
      </c>
      <c r="AG45" s="103"/>
      <c r="AH45" s="52">
        <v>5091</v>
      </c>
      <c r="AI45" s="52">
        <v>5091</v>
      </c>
      <c r="AJ45" s="102">
        <v>55.33</v>
      </c>
      <c r="AK45" s="104">
        <v>110.66</v>
      </c>
      <c r="AL45" s="102">
        <v>55.33</v>
      </c>
      <c r="AM45" s="102"/>
      <c r="AN45" s="53">
        <f t="shared" si="21"/>
        <v>110.66</v>
      </c>
      <c r="AO45" s="53">
        <v>26.73</v>
      </c>
      <c r="AP45" s="102"/>
      <c r="AQ45" s="102"/>
      <c r="AR45" s="102"/>
      <c r="AS45" s="102"/>
      <c r="AT45" s="102"/>
      <c r="AU45" s="102"/>
      <c r="AV45" s="102"/>
      <c r="AW45" s="102"/>
      <c r="AX45" s="102"/>
      <c r="AY45" s="102"/>
      <c r="AZ45" s="102"/>
      <c r="BA45" s="102"/>
      <c r="BB45" s="102"/>
      <c r="BC45" s="102"/>
      <c r="BD45" s="102"/>
      <c r="BE45" s="102"/>
      <c r="BF45" s="102"/>
      <c r="BG45" s="102"/>
      <c r="BH45" s="102"/>
      <c r="BI45" s="102"/>
      <c r="BJ45" s="102"/>
      <c r="BK45" s="102"/>
      <c r="BL45" s="102"/>
      <c r="BM45" s="102"/>
      <c r="BN45" s="102"/>
      <c r="BO45" s="102"/>
      <c r="BP45" s="102"/>
      <c r="BQ45" s="102"/>
      <c r="BR45" s="102"/>
      <c r="BS45" s="54" t="s">
        <v>23</v>
      </c>
      <c r="BT45" s="45" t="str">
        <f t="shared" si="22"/>
        <v>No</v>
      </c>
      <c r="BU45" s="45" t="str">
        <f t="shared" si="23"/>
        <v>No</v>
      </c>
      <c r="BV45" s="45" t="str">
        <f t="shared" si="24"/>
        <v>No</v>
      </c>
      <c r="BW45" s="55">
        <v>90.656336340978001</v>
      </c>
      <c r="BX45" s="55"/>
      <c r="BY45" s="55">
        <v>90.40133634097802</v>
      </c>
      <c r="BZ45" s="55"/>
      <c r="CA45" s="45">
        <v>2000</v>
      </c>
      <c r="CB45" s="55">
        <f t="shared" si="25"/>
        <v>58.685878962536023</v>
      </c>
      <c r="CC45" s="46" t="s">
        <v>951</v>
      </c>
      <c r="CD45" s="46" t="s">
        <v>952</v>
      </c>
      <c r="CE45" s="46" t="s">
        <v>950</v>
      </c>
      <c r="CF45" s="46">
        <v>2</v>
      </c>
      <c r="CG45" s="46" t="str">
        <f t="shared" si="26"/>
        <v>No</v>
      </c>
      <c r="CH45" s="46" t="s">
        <v>29</v>
      </c>
      <c r="CI45" s="56">
        <v>0</v>
      </c>
      <c r="CJ45" s="46">
        <v>20</v>
      </c>
      <c r="CK45" s="46" t="s">
        <v>23</v>
      </c>
      <c r="CL45" s="49" t="s">
        <v>29</v>
      </c>
      <c r="CM45" s="50">
        <v>0</v>
      </c>
      <c r="CN45" s="50"/>
      <c r="CO45" s="50"/>
      <c r="CP45" s="46" t="s">
        <v>23</v>
      </c>
      <c r="CQ45" s="46" t="s">
        <v>24</v>
      </c>
      <c r="CR45" s="46">
        <v>9</v>
      </c>
      <c r="CS45" s="46" t="s">
        <v>854</v>
      </c>
      <c r="CT45" s="46" t="s">
        <v>856</v>
      </c>
      <c r="CU45" s="46" t="s">
        <v>74</v>
      </c>
      <c r="CV45" s="46">
        <v>3</v>
      </c>
      <c r="CW45" s="46" t="s">
        <v>23</v>
      </c>
      <c r="CX45" s="49" t="s">
        <v>743</v>
      </c>
      <c r="CY45" s="49" t="s">
        <v>51</v>
      </c>
      <c r="CZ45" s="49">
        <v>0</v>
      </c>
      <c r="DA45" s="49">
        <v>1</v>
      </c>
      <c r="DB45" s="64">
        <v>8675</v>
      </c>
      <c r="DC45" s="58">
        <v>36.11</v>
      </c>
      <c r="DD45" s="58">
        <v>43.72</v>
      </c>
      <c r="DE45" s="58">
        <v>9.0499999999999989</v>
      </c>
      <c r="DF45" s="58">
        <v>6.5100000000000007</v>
      </c>
      <c r="DG45" s="58">
        <v>6.3976945244956767</v>
      </c>
      <c r="DH45" s="58">
        <v>63.89</v>
      </c>
      <c r="DI45" s="45" t="s">
        <v>35</v>
      </c>
      <c r="DJ45" s="59" t="str">
        <f t="shared" si="27"/>
        <v>No single majority group</v>
      </c>
      <c r="DK45" s="65">
        <v>8675</v>
      </c>
      <c r="DL45" s="58">
        <v>36.11</v>
      </c>
      <c r="DM45" s="58">
        <v>43.72</v>
      </c>
      <c r="DN45" s="58">
        <v>9.0499999999999989</v>
      </c>
      <c r="DO45" s="58">
        <v>63.89</v>
      </c>
      <c r="DP45" s="66">
        <v>50.9</v>
      </c>
      <c r="DQ45" s="67">
        <v>61156.800000000003</v>
      </c>
      <c r="DR45" s="53">
        <v>20</v>
      </c>
      <c r="DS45" s="58">
        <v>73.8</v>
      </c>
      <c r="DT45" s="53">
        <v>42.7</v>
      </c>
      <c r="DU45" s="55">
        <v>2.16</v>
      </c>
      <c r="DV45" s="50">
        <v>32.5</v>
      </c>
      <c r="DW45" s="53">
        <v>92.2</v>
      </c>
      <c r="DX45" s="53">
        <v>79.101399999999998</v>
      </c>
      <c r="DY45" s="53">
        <v>47.097700000000003</v>
      </c>
      <c r="DZ45" s="63"/>
    </row>
    <row r="46" spans="1:130" s="5" customFormat="1" ht="14.25" hidden="1" customHeight="1">
      <c r="A46" s="45">
        <v>1079</v>
      </c>
      <c r="B46" s="46" t="s">
        <v>69</v>
      </c>
      <c r="C46" s="47">
        <v>2000</v>
      </c>
      <c r="D46" s="47" t="s">
        <v>94</v>
      </c>
      <c r="E46" s="46" t="s">
        <v>95</v>
      </c>
      <c r="F46" s="46">
        <v>4</v>
      </c>
      <c r="G46" s="48">
        <v>30000</v>
      </c>
      <c r="H46" s="46" t="s">
        <v>332</v>
      </c>
      <c r="I46" s="46">
        <v>1</v>
      </c>
      <c r="J46" s="46">
        <v>3</v>
      </c>
      <c r="K46" s="49" t="s">
        <v>108</v>
      </c>
      <c r="L46" s="49" t="s">
        <v>40</v>
      </c>
      <c r="M46" s="49" t="s">
        <v>35</v>
      </c>
      <c r="N46" s="49" t="s">
        <v>513</v>
      </c>
      <c r="O46" s="49"/>
      <c r="P46" s="49" t="s">
        <v>201</v>
      </c>
      <c r="Q46" s="49" t="s">
        <v>35</v>
      </c>
      <c r="R46" s="49">
        <v>2</v>
      </c>
      <c r="S46" s="50">
        <f t="shared" si="17"/>
        <v>66.666666666666657</v>
      </c>
      <c r="T46" s="49">
        <v>1</v>
      </c>
      <c r="U46" s="50">
        <f t="shared" si="18"/>
        <v>33.333333333333329</v>
      </c>
      <c r="V46" s="49" t="s">
        <v>858</v>
      </c>
      <c r="W46" s="49">
        <v>1</v>
      </c>
      <c r="X46" s="50">
        <f t="shared" si="19"/>
        <v>33.333333333333329</v>
      </c>
      <c r="Y46" s="51" t="str">
        <f t="shared" si="20"/>
        <v>Yes</v>
      </c>
      <c r="Z46" s="45" t="s">
        <v>29</v>
      </c>
      <c r="AA46" s="49" t="s">
        <v>35</v>
      </c>
      <c r="AB46" s="45" t="s">
        <v>35</v>
      </c>
      <c r="AC46" s="46" t="s">
        <v>26</v>
      </c>
      <c r="AD46" s="46" t="s">
        <v>27</v>
      </c>
      <c r="AE46" s="46" t="s">
        <v>89</v>
      </c>
      <c r="AF46" s="46" t="s">
        <v>29</v>
      </c>
      <c r="AG46" s="103"/>
      <c r="AH46" s="52">
        <v>5181</v>
      </c>
      <c r="AI46" s="52">
        <v>5181</v>
      </c>
      <c r="AJ46" s="102">
        <v>73.31</v>
      </c>
      <c r="AK46" s="104">
        <v>146.62</v>
      </c>
      <c r="AL46" s="102">
        <v>73.31</v>
      </c>
      <c r="AM46" s="102"/>
      <c r="AN46" s="53">
        <f t="shared" si="21"/>
        <v>146.62</v>
      </c>
      <c r="AO46" s="53">
        <v>19.61</v>
      </c>
      <c r="AP46" s="102"/>
      <c r="AQ46" s="102"/>
      <c r="AR46" s="102"/>
      <c r="AS46" s="102"/>
      <c r="AT46" s="102"/>
      <c r="AU46" s="102"/>
      <c r="AV46" s="102"/>
      <c r="AW46" s="102"/>
      <c r="AX46" s="102"/>
      <c r="AY46" s="102"/>
      <c r="AZ46" s="102"/>
      <c r="BA46" s="102"/>
      <c r="BB46" s="102"/>
      <c r="BC46" s="102"/>
      <c r="BD46" s="102"/>
      <c r="BE46" s="102"/>
      <c r="BF46" s="102"/>
      <c r="BG46" s="102"/>
      <c r="BH46" s="102"/>
      <c r="BI46" s="102"/>
      <c r="BJ46" s="102"/>
      <c r="BK46" s="102"/>
      <c r="BL46" s="102"/>
      <c r="BM46" s="102"/>
      <c r="BN46" s="102"/>
      <c r="BO46" s="102"/>
      <c r="BP46" s="102"/>
      <c r="BQ46" s="102"/>
      <c r="BR46" s="102"/>
      <c r="BS46" s="54" t="s">
        <v>23</v>
      </c>
      <c r="BT46" s="45" t="str">
        <f t="shared" si="22"/>
        <v>No</v>
      </c>
      <c r="BU46" s="45" t="str">
        <f t="shared" si="23"/>
        <v>No</v>
      </c>
      <c r="BV46" s="45" t="str">
        <f t="shared" si="24"/>
        <v>No</v>
      </c>
      <c r="BW46" s="55">
        <v>90.656336340978001</v>
      </c>
      <c r="BX46" s="55"/>
      <c r="BY46" s="55">
        <v>90.40133634097802</v>
      </c>
      <c r="BZ46" s="55"/>
      <c r="CA46" s="45">
        <v>2000</v>
      </c>
      <c r="CB46" s="55">
        <f t="shared" si="25"/>
        <v>58.854935817334997</v>
      </c>
      <c r="CC46" s="46" t="s">
        <v>951</v>
      </c>
      <c r="CD46" s="46" t="s">
        <v>952</v>
      </c>
      <c r="CE46" s="46" t="s">
        <v>950</v>
      </c>
      <c r="CF46" s="46">
        <v>2</v>
      </c>
      <c r="CG46" s="46" t="str">
        <f t="shared" si="26"/>
        <v>No</v>
      </c>
      <c r="CH46" s="46" t="s">
        <v>29</v>
      </c>
      <c r="CI46" s="56">
        <v>0</v>
      </c>
      <c r="CJ46" s="46">
        <v>20</v>
      </c>
      <c r="CK46" s="46" t="s">
        <v>23</v>
      </c>
      <c r="CL46" s="49" t="s">
        <v>29</v>
      </c>
      <c r="CM46" s="50">
        <v>0</v>
      </c>
      <c r="CN46" s="50"/>
      <c r="CO46" s="50"/>
      <c r="CP46" s="46" t="s">
        <v>23</v>
      </c>
      <c r="CQ46" s="46" t="s">
        <v>24</v>
      </c>
      <c r="CR46" s="46">
        <v>9</v>
      </c>
      <c r="CS46" s="46" t="s">
        <v>854</v>
      </c>
      <c r="CT46" s="46" t="s">
        <v>856</v>
      </c>
      <c r="CU46" s="46" t="s">
        <v>74</v>
      </c>
      <c r="CV46" s="46">
        <v>3</v>
      </c>
      <c r="CW46" s="46" t="s">
        <v>23</v>
      </c>
      <c r="CX46" s="49" t="s">
        <v>743</v>
      </c>
      <c r="CY46" s="49" t="s">
        <v>51</v>
      </c>
      <c r="CZ46" s="49">
        <v>0</v>
      </c>
      <c r="DA46" s="49">
        <v>1</v>
      </c>
      <c r="DB46" s="64">
        <v>8803</v>
      </c>
      <c r="DC46" s="58">
        <v>41.04</v>
      </c>
      <c r="DD46" s="58">
        <v>37.090000000000003</v>
      </c>
      <c r="DE46" s="58">
        <v>7.7</v>
      </c>
      <c r="DF46" s="58">
        <v>8.32</v>
      </c>
      <c r="DG46" s="58">
        <v>7.9859138929910252</v>
      </c>
      <c r="DH46" s="58">
        <v>58.96</v>
      </c>
      <c r="DI46" s="45" t="s">
        <v>35</v>
      </c>
      <c r="DJ46" s="59" t="str">
        <f t="shared" si="27"/>
        <v>No single majority group</v>
      </c>
      <c r="DK46" s="65">
        <v>8803</v>
      </c>
      <c r="DL46" s="58">
        <v>41.04</v>
      </c>
      <c r="DM46" s="58">
        <v>37.090000000000003</v>
      </c>
      <c r="DN46" s="58">
        <v>7.7</v>
      </c>
      <c r="DO46" s="58">
        <v>58.96</v>
      </c>
      <c r="DP46" s="66">
        <v>50.9</v>
      </c>
      <c r="DQ46" s="67">
        <v>61156.800000000003</v>
      </c>
      <c r="DR46" s="53">
        <v>20</v>
      </c>
      <c r="DS46" s="58">
        <v>73.8</v>
      </c>
      <c r="DT46" s="53">
        <v>42.7</v>
      </c>
      <c r="DU46" s="55">
        <v>2.16</v>
      </c>
      <c r="DV46" s="50">
        <v>32.5</v>
      </c>
      <c r="DW46" s="53">
        <v>92.2</v>
      </c>
      <c r="DX46" s="53">
        <v>79.101399999999998</v>
      </c>
      <c r="DY46" s="53">
        <v>47.097700000000003</v>
      </c>
      <c r="DZ46" s="63"/>
    </row>
    <row r="47" spans="1:130" s="5" customFormat="1" ht="14.25" hidden="1" customHeight="1">
      <c r="A47" s="45">
        <v>1080</v>
      </c>
      <c r="B47" s="46" t="s">
        <v>69</v>
      </c>
      <c r="C47" s="47">
        <v>2000</v>
      </c>
      <c r="D47" s="47" t="s">
        <v>97</v>
      </c>
      <c r="E47" s="46" t="s">
        <v>98</v>
      </c>
      <c r="F47" s="46">
        <v>4</v>
      </c>
      <c r="G47" s="48">
        <v>30000</v>
      </c>
      <c r="H47" s="46" t="s">
        <v>332</v>
      </c>
      <c r="I47" s="46">
        <v>1</v>
      </c>
      <c r="J47" s="46">
        <v>5</v>
      </c>
      <c r="K47" s="49" t="s">
        <v>109</v>
      </c>
      <c r="L47" s="49" t="s">
        <v>40</v>
      </c>
      <c r="M47" s="49" t="s">
        <v>35</v>
      </c>
      <c r="N47" s="49" t="s">
        <v>512</v>
      </c>
      <c r="O47" s="49"/>
      <c r="P47" s="49" t="s">
        <v>31</v>
      </c>
      <c r="Q47" s="49" t="s">
        <v>29</v>
      </c>
      <c r="R47" s="49">
        <v>2</v>
      </c>
      <c r="S47" s="50">
        <f t="shared" si="17"/>
        <v>40</v>
      </c>
      <c r="T47" s="49">
        <v>0</v>
      </c>
      <c r="U47" s="50">
        <f t="shared" si="18"/>
        <v>0</v>
      </c>
      <c r="V47" s="45"/>
      <c r="W47" s="49">
        <v>0</v>
      </c>
      <c r="X47" s="50">
        <f t="shared" si="19"/>
        <v>0</v>
      </c>
      <c r="Y47" s="51" t="str">
        <f t="shared" si="20"/>
        <v>No</v>
      </c>
      <c r="Z47" s="45" t="s">
        <v>35</v>
      </c>
      <c r="AA47" s="49" t="s">
        <v>23</v>
      </c>
      <c r="AB47" s="49" t="s">
        <v>23</v>
      </c>
      <c r="AC47" s="46" t="s">
        <v>26</v>
      </c>
      <c r="AD47" s="46" t="s">
        <v>27</v>
      </c>
      <c r="AE47" s="46" t="s">
        <v>89</v>
      </c>
      <c r="AF47" s="46" t="s">
        <v>29</v>
      </c>
      <c r="AG47" s="103"/>
      <c r="AH47" s="52">
        <v>7285</v>
      </c>
      <c r="AI47" s="52">
        <v>7285</v>
      </c>
      <c r="AJ47" s="102">
        <v>56.93</v>
      </c>
      <c r="AK47" s="104">
        <v>113.86</v>
      </c>
      <c r="AL47" s="102">
        <v>56.93</v>
      </c>
      <c r="AM47" s="102"/>
      <c r="AN47" s="53">
        <f t="shared" si="21"/>
        <v>113.86</v>
      </c>
      <c r="AO47" s="53">
        <v>17.079999999999998</v>
      </c>
      <c r="AP47" s="102"/>
      <c r="AQ47" s="102"/>
      <c r="AR47" s="102"/>
      <c r="AS47" s="102"/>
      <c r="AT47" s="102"/>
      <c r="AU47" s="102"/>
      <c r="AV47" s="102"/>
      <c r="AW47" s="102"/>
      <c r="AX47" s="102"/>
      <c r="AY47" s="102"/>
      <c r="AZ47" s="102"/>
      <c r="BA47" s="102"/>
      <c r="BB47" s="102"/>
      <c r="BC47" s="102"/>
      <c r="BD47" s="102"/>
      <c r="BE47" s="102"/>
      <c r="BF47" s="102"/>
      <c r="BG47" s="102"/>
      <c r="BH47" s="102"/>
      <c r="BI47" s="102"/>
      <c r="BJ47" s="102"/>
      <c r="BK47" s="102"/>
      <c r="BL47" s="102"/>
      <c r="BM47" s="102"/>
      <c r="BN47" s="102"/>
      <c r="BO47" s="102"/>
      <c r="BP47" s="102"/>
      <c r="BQ47" s="102"/>
      <c r="BR47" s="102"/>
      <c r="BS47" s="54" t="s">
        <v>23</v>
      </c>
      <c r="BT47" s="45" t="str">
        <f t="shared" si="22"/>
        <v>No</v>
      </c>
      <c r="BU47" s="45" t="str">
        <f t="shared" si="23"/>
        <v>No</v>
      </c>
      <c r="BV47" s="45" t="str">
        <f t="shared" si="24"/>
        <v>No</v>
      </c>
      <c r="BW47" s="55">
        <v>90.656336340978001</v>
      </c>
      <c r="BX47" s="55"/>
      <c r="BY47" s="55">
        <v>90.40133634097802</v>
      </c>
      <c r="BZ47" s="55"/>
      <c r="CA47" s="45">
        <v>2000</v>
      </c>
      <c r="CB47" s="55">
        <f t="shared" si="25"/>
        <v>72.610385727100564</v>
      </c>
      <c r="CC47" s="46" t="s">
        <v>951</v>
      </c>
      <c r="CD47" s="46" t="s">
        <v>952</v>
      </c>
      <c r="CE47" s="46" t="s">
        <v>950</v>
      </c>
      <c r="CF47" s="46">
        <v>2</v>
      </c>
      <c r="CG47" s="46" t="str">
        <f t="shared" si="26"/>
        <v>No</v>
      </c>
      <c r="CH47" s="46" t="s">
        <v>29</v>
      </c>
      <c r="CI47" s="56">
        <v>0</v>
      </c>
      <c r="CJ47" s="46">
        <v>20</v>
      </c>
      <c r="CK47" s="46" t="s">
        <v>23</v>
      </c>
      <c r="CL47" s="49" t="s">
        <v>29</v>
      </c>
      <c r="CM47" s="50">
        <v>0</v>
      </c>
      <c r="CN47" s="50"/>
      <c r="CO47" s="50"/>
      <c r="CP47" s="46" t="s">
        <v>23</v>
      </c>
      <c r="CQ47" s="46" t="s">
        <v>24</v>
      </c>
      <c r="CR47" s="46">
        <v>9</v>
      </c>
      <c r="CS47" s="46" t="s">
        <v>854</v>
      </c>
      <c r="CT47" s="46" t="s">
        <v>856</v>
      </c>
      <c r="CU47" s="46" t="s">
        <v>74</v>
      </c>
      <c r="CV47" s="46">
        <v>3</v>
      </c>
      <c r="CW47" s="46" t="s">
        <v>23</v>
      </c>
      <c r="CX47" s="49" t="s">
        <v>743</v>
      </c>
      <c r="CY47" s="49" t="s">
        <v>51</v>
      </c>
      <c r="CZ47" s="49">
        <v>0</v>
      </c>
      <c r="DA47" s="49">
        <v>1</v>
      </c>
      <c r="DB47" s="64">
        <v>10033</v>
      </c>
      <c r="DC47" s="58">
        <v>79.47</v>
      </c>
      <c r="DD47" s="58">
        <v>2.62</v>
      </c>
      <c r="DE47" s="58">
        <v>4.21</v>
      </c>
      <c r="DF47" s="58">
        <v>10.42</v>
      </c>
      <c r="DG47" s="58">
        <v>5.1529951161168146</v>
      </c>
      <c r="DH47" s="58">
        <v>20.530000000000005</v>
      </c>
      <c r="DI47" s="45" t="s">
        <v>29</v>
      </c>
      <c r="DJ47" s="59" t="str">
        <f t="shared" si="27"/>
        <v>N/A</v>
      </c>
      <c r="DK47" s="65">
        <v>10033</v>
      </c>
      <c r="DL47" s="58">
        <v>79.47</v>
      </c>
      <c r="DM47" s="58">
        <v>2.62</v>
      </c>
      <c r="DN47" s="58">
        <v>4.21</v>
      </c>
      <c r="DO47" s="58">
        <v>20.530000000000005</v>
      </c>
      <c r="DP47" s="66">
        <v>50.9</v>
      </c>
      <c r="DQ47" s="67">
        <v>61156.800000000003</v>
      </c>
      <c r="DR47" s="53">
        <v>20</v>
      </c>
      <c r="DS47" s="58">
        <v>73.8</v>
      </c>
      <c r="DT47" s="53">
        <v>42.7</v>
      </c>
      <c r="DU47" s="55">
        <v>2.16</v>
      </c>
      <c r="DV47" s="50">
        <v>32.5</v>
      </c>
      <c r="DW47" s="53">
        <v>92.2</v>
      </c>
      <c r="DX47" s="53">
        <v>79.101399999999998</v>
      </c>
      <c r="DY47" s="53">
        <v>47.097700000000003</v>
      </c>
      <c r="DZ47" s="63"/>
    </row>
    <row r="48" spans="1:130" s="5" customFormat="1" ht="14.25" hidden="1" customHeight="1">
      <c r="A48" s="45">
        <v>1081</v>
      </c>
      <c r="B48" s="46" t="s">
        <v>69</v>
      </c>
      <c r="C48" s="47">
        <v>2000</v>
      </c>
      <c r="D48" s="47" t="s">
        <v>100</v>
      </c>
      <c r="E48" s="71" t="s">
        <v>101</v>
      </c>
      <c r="F48" s="46">
        <v>4</v>
      </c>
      <c r="G48" s="48">
        <v>30000</v>
      </c>
      <c r="H48" s="46" t="s">
        <v>332</v>
      </c>
      <c r="I48" s="46">
        <v>1</v>
      </c>
      <c r="J48" s="46">
        <v>3</v>
      </c>
      <c r="K48" s="49" t="s">
        <v>106</v>
      </c>
      <c r="L48" s="49" t="s">
        <v>40</v>
      </c>
      <c r="M48" s="49" t="s">
        <v>35</v>
      </c>
      <c r="N48" s="49" t="s">
        <v>513</v>
      </c>
      <c r="O48" s="49"/>
      <c r="P48" s="49" t="s">
        <v>31</v>
      </c>
      <c r="Q48" s="49" t="s">
        <v>29</v>
      </c>
      <c r="R48" s="49">
        <v>3</v>
      </c>
      <c r="S48" s="50">
        <f t="shared" si="17"/>
        <v>100</v>
      </c>
      <c r="T48" s="49">
        <v>0</v>
      </c>
      <c r="U48" s="50">
        <f t="shared" si="18"/>
        <v>0</v>
      </c>
      <c r="V48" s="45"/>
      <c r="W48" s="49">
        <v>0</v>
      </c>
      <c r="X48" s="50">
        <f t="shared" si="19"/>
        <v>0</v>
      </c>
      <c r="Y48" s="51" t="str">
        <f t="shared" si="20"/>
        <v>No</v>
      </c>
      <c r="Z48" s="45" t="s">
        <v>29</v>
      </c>
      <c r="AA48" s="49" t="s">
        <v>29</v>
      </c>
      <c r="AB48" s="45" t="s">
        <v>35</v>
      </c>
      <c r="AC48" s="46" t="s">
        <v>26</v>
      </c>
      <c r="AD48" s="46" t="s">
        <v>27</v>
      </c>
      <c r="AE48" s="46" t="s">
        <v>89</v>
      </c>
      <c r="AF48" s="46" t="s">
        <v>29</v>
      </c>
      <c r="AG48" s="103"/>
      <c r="AH48" s="52">
        <v>6962</v>
      </c>
      <c r="AI48" s="52">
        <v>6962</v>
      </c>
      <c r="AJ48" s="102">
        <v>63.14</v>
      </c>
      <c r="AK48" s="104">
        <v>126.28</v>
      </c>
      <c r="AL48" s="102">
        <v>63.14</v>
      </c>
      <c r="AM48" s="102"/>
      <c r="AN48" s="53">
        <f t="shared" si="21"/>
        <v>126.28</v>
      </c>
      <c r="AO48" s="53">
        <v>22.25</v>
      </c>
      <c r="AP48" s="102"/>
      <c r="AQ48" s="102"/>
      <c r="AR48" s="50"/>
      <c r="AS48" s="50"/>
      <c r="AT48" s="102"/>
      <c r="AU48" s="102"/>
      <c r="AV48" s="102"/>
      <c r="AW48" s="102"/>
      <c r="AX48" s="50"/>
      <c r="AY48" s="50"/>
      <c r="AZ48" s="102"/>
      <c r="BA48" s="102"/>
      <c r="BB48" s="102"/>
      <c r="BC48" s="102"/>
      <c r="BD48" s="50"/>
      <c r="BE48" s="50"/>
      <c r="BF48" s="50"/>
      <c r="BG48" s="50"/>
      <c r="BH48" s="102"/>
      <c r="BI48" s="102"/>
      <c r="BJ48" s="102"/>
      <c r="BK48" s="102"/>
      <c r="BL48" s="102"/>
      <c r="BM48" s="102"/>
      <c r="BN48" s="102"/>
      <c r="BO48" s="50"/>
      <c r="BP48" s="50"/>
      <c r="BQ48" s="50"/>
      <c r="BR48" s="102"/>
      <c r="BS48" s="54" t="s">
        <v>23</v>
      </c>
      <c r="BT48" s="45" t="str">
        <f t="shared" si="22"/>
        <v>No</v>
      </c>
      <c r="BU48" s="45" t="str">
        <f t="shared" si="23"/>
        <v>No</v>
      </c>
      <c r="BV48" s="45" t="str">
        <f t="shared" si="24"/>
        <v>No</v>
      </c>
      <c r="BW48" s="55">
        <v>90.656336340978001</v>
      </c>
      <c r="BX48" s="55"/>
      <c r="BY48" s="55">
        <v>90.40133634097802</v>
      </c>
      <c r="BZ48" s="55"/>
      <c r="CA48" s="45">
        <v>2000</v>
      </c>
      <c r="CB48" s="55">
        <f t="shared" si="25"/>
        <v>67.921951219512195</v>
      </c>
      <c r="CC48" s="46" t="s">
        <v>951</v>
      </c>
      <c r="CD48" s="46" t="s">
        <v>952</v>
      </c>
      <c r="CE48" s="46" t="s">
        <v>950</v>
      </c>
      <c r="CF48" s="46">
        <v>2</v>
      </c>
      <c r="CG48" s="46" t="str">
        <f t="shared" si="26"/>
        <v>No</v>
      </c>
      <c r="CH48" s="46" t="s">
        <v>29</v>
      </c>
      <c r="CI48" s="56">
        <v>0</v>
      </c>
      <c r="CJ48" s="46">
        <v>20</v>
      </c>
      <c r="CK48" s="46" t="s">
        <v>23</v>
      </c>
      <c r="CL48" s="49" t="s">
        <v>29</v>
      </c>
      <c r="CM48" s="50">
        <v>0</v>
      </c>
      <c r="CN48" s="50"/>
      <c r="CO48" s="50"/>
      <c r="CP48" s="46" t="s">
        <v>23</v>
      </c>
      <c r="CQ48" s="46" t="s">
        <v>24</v>
      </c>
      <c r="CR48" s="46">
        <v>9</v>
      </c>
      <c r="CS48" s="46" t="s">
        <v>854</v>
      </c>
      <c r="CT48" s="46" t="s">
        <v>856</v>
      </c>
      <c r="CU48" s="46" t="s">
        <v>74</v>
      </c>
      <c r="CV48" s="46">
        <v>3</v>
      </c>
      <c r="CW48" s="46" t="s">
        <v>23</v>
      </c>
      <c r="CX48" s="49" t="s">
        <v>743</v>
      </c>
      <c r="CY48" s="49" t="s">
        <v>51</v>
      </c>
      <c r="CZ48" s="49">
        <v>0</v>
      </c>
      <c r="DA48" s="49">
        <v>1</v>
      </c>
      <c r="DB48" s="64">
        <v>10250</v>
      </c>
      <c r="DC48" s="58">
        <v>78.83</v>
      </c>
      <c r="DD48" s="58">
        <v>1.6099999999999999</v>
      </c>
      <c r="DE48" s="58">
        <v>4.29</v>
      </c>
      <c r="DF48" s="58">
        <v>11.37</v>
      </c>
      <c r="DG48" s="58">
        <v>5.1414634146341465</v>
      </c>
      <c r="DH48" s="58">
        <v>21.17</v>
      </c>
      <c r="DI48" s="45" t="s">
        <v>29</v>
      </c>
      <c r="DJ48" s="59" t="str">
        <f t="shared" si="27"/>
        <v>N/A</v>
      </c>
      <c r="DK48" s="65">
        <v>10250</v>
      </c>
      <c r="DL48" s="58">
        <v>78.83</v>
      </c>
      <c r="DM48" s="58">
        <v>1.6099999999999999</v>
      </c>
      <c r="DN48" s="58">
        <v>4.29</v>
      </c>
      <c r="DO48" s="58">
        <v>21.17</v>
      </c>
      <c r="DP48" s="66">
        <v>50.9</v>
      </c>
      <c r="DQ48" s="67">
        <v>61156.800000000003</v>
      </c>
      <c r="DR48" s="53">
        <v>20</v>
      </c>
      <c r="DS48" s="58">
        <v>73.8</v>
      </c>
      <c r="DT48" s="53">
        <v>42.7</v>
      </c>
      <c r="DU48" s="55">
        <v>2.16</v>
      </c>
      <c r="DV48" s="50">
        <v>32.5</v>
      </c>
      <c r="DW48" s="53">
        <v>92.2</v>
      </c>
      <c r="DX48" s="53">
        <v>79.101399999999998</v>
      </c>
      <c r="DY48" s="53">
        <v>47.097700000000003</v>
      </c>
      <c r="DZ48" s="63"/>
    </row>
    <row r="49" spans="1:130" s="5" customFormat="1" ht="14.25" hidden="1" customHeight="1">
      <c r="A49" s="45">
        <v>1073</v>
      </c>
      <c r="B49" s="46" t="s">
        <v>69</v>
      </c>
      <c r="C49" s="47">
        <v>2002</v>
      </c>
      <c r="D49" s="47" t="s">
        <v>70</v>
      </c>
      <c r="E49" s="46" t="s">
        <v>22</v>
      </c>
      <c r="F49" s="46">
        <v>4</v>
      </c>
      <c r="G49" s="48">
        <v>146992</v>
      </c>
      <c r="H49" s="46" t="s">
        <v>249</v>
      </c>
      <c r="I49" s="46">
        <v>1</v>
      </c>
      <c r="J49" s="46">
        <v>1</v>
      </c>
      <c r="K49" s="49" t="s">
        <v>75</v>
      </c>
      <c r="L49" s="49" t="s">
        <v>40</v>
      </c>
      <c r="M49" s="49" t="s">
        <v>35</v>
      </c>
      <c r="N49" s="49" t="s">
        <v>513</v>
      </c>
      <c r="O49" s="49"/>
      <c r="P49" s="49" t="s">
        <v>31</v>
      </c>
      <c r="Q49" s="49" t="s">
        <v>29</v>
      </c>
      <c r="R49" s="49">
        <v>1</v>
      </c>
      <c r="S49" s="50">
        <f t="shared" si="17"/>
        <v>100</v>
      </c>
      <c r="T49" s="49">
        <v>0</v>
      </c>
      <c r="U49" s="50">
        <f t="shared" si="18"/>
        <v>0</v>
      </c>
      <c r="V49" s="45"/>
      <c r="W49" s="49">
        <v>0</v>
      </c>
      <c r="X49" s="50">
        <f t="shared" si="19"/>
        <v>0</v>
      </c>
      <c r="Y49" s="51" t="str">
        <f t="shared" si="20"/>
        <v>No</v>
      </c>
      <c r="Z49" s="45" t="s">
        <v>29</v>
      </c>
      <c r="AA49" s="49" t="s">
        <v>29</v>
      </c>
      <c r="AB49" s="45" t="s">
        <v>35</v>
      </c>
      <c r="AC49" s="46" t="s">
        <v>26</v>
      </c>
      <c r="AD49" s="46" t="s">
        <v>27</v>
      </c>
      <c r="AE49" s="46" t="s">
        <v>73</v>
      </c>
      <c r="AF49" s="46" t="s">
        <v>29</v>
      </c>
      <c r="AG49" s="103"/>
      <c r="AH49" s="52">
        <v>28428</v>
      </c>
      <c r="AI49" s="52">
        <v>28428</v>
      </c>
      <c r="AJ49" s="102">
        <v>99.13</v>
      </c>
      <c r="AK49" s="104">
        <v>198.26</v>
      </c>
      <c r="AL49" s="102">
        <v>99.13</v>
      </c>
      <c r="AM49" s="102"/>
      <c r="AN49" s="53">
        <f t="shared" si="21"/>
        <v>198.26</v>
      </c>
      <c r="AO49" s="53" t="s">
        <v>23</v>
      </c>
      <c r="AP49" s="102"/>
      <c r="AQ49" s="102"/>
      <c r="AR49" s="50"/>
      <c r="AS49" s="50"/>
      <c r="AT49" s="102"/>
      <c r="AU49" s="102"/>
      <c r="AV49" s="102"/>
      <c r="AW49" s="102"/>
      <c r="AX49" s="50"/>
      <c r="AY49" s="50"/>
      <c r="AZ49" s="102"/>
      <c r="BA49" s="102"/>
      <c r="BB49" s="102"/>
      <c r="BC49" s="102"/>
      <c r="BD49" s="50"/>
      <c r="BE49" s="50"/>
      <c r="BF49" s="50"/>
      <c r="BG49" s="50"/>
      <c r="BH49" s="102"/>
      <c r="BI49" s="102"/>
      <c r="BJ49" s="102"/>
      <c r="BK49" s="102"/>
      <c r="BL49" s="102"/>
      <c r="BM49" s="102"/>
      <c r="BN49" s="102"/>
      <c r="BO49" s="50"/>
      <c r="BP49" s="50"/>
      <c r="BQ49" s="50"/>
      <c r="BR49" s="102"/>
      <c r="BS49" s="54" t="s">
        <v>23</v>
      </c>
      <c r="BT49" s="45" t="str">
        <f t="shared" si="22"/>
        <v>No</v>
      </c>
      <c r="BU49" s="45" t="str">
        <f t="shared" si="23"/>
        <v>No</v>
      </c>
      <c r="BV49" s="45" t="str">
        <f t="shared" si="24"/>
        <v>No</v>
      </c>
      <c r="BW49" s="55">
        <v>90.656336340978001</v>
      </c>
      <c r="BX49" s="55">
        <v>90.656336340978001</v>
      </c>
      <c r="BY49" s="55">
        <v>90.40133634097802</v>
      </c>
      <c r="BZ49" s="55">
        <f>BX49-(0.0051*100/2)</f>
        <v>90.401336340978006</v>
      </c>
      <c r="CA49" s="45">
        <v>2000</v>
      </c>
      <c r="CB49" s="55">
        <f t="shared" si="25"/>
        <v>36.819064887967876</v>
      </c>
      <c r="CC49" s="46" t="s">
        <v>951</v>
      </c>
      <c r="CD49" s="46" t="s">
        <v>952</v>
      </c>
      <c r="CE49" s="46" t="s">
        <v>950</v>
      </c>
      <c r="CF49" s="46">
        <v>2</v>
      </c>
      <c r="CG49" s="46" t="str">
        <f t="shared" si="26"/>
        <v>No</v>
      </c>
      <c r="CH49" s="46" t="s">
        <v>29</v>
      </c>
      <c r="CI49" s="56">
        <v>0</v>
      </c>
      <c r="CJ49" s="46">
        <v>20</v>
      </c>
      <c r="CK49" s="46" t="s">
        <v>23</v>
      </c>
      <c r="CL49" s="49" t="s">
        <v>29</v>
      </c>
      <c r="CM49" s="50">
        <v>0</v>
      </c>
      <c r="CN49" s="50"/>
      <c r="CO49" s="50"/>
      <c r="CP49" s="46" t="s">
        <v>23</v>
      </c>
      <c r="CQ49" s="46" t="s">
        <v>23</v>
      </c>
      <c r="CR49" s="46">
        <v>9</v>
      </c>
      <c r="CS49" s="46" t="s">
        <v>854</v>
      </c>
      <c r="CT49" s="46" t="s">
        <v>53</v>
      </c>
      <c r="CU49" s="46" t="s">
        <v>74</v>
      </c>
      <c r="CV49" s="46">
        <v>2</v>
      </c>
      <c r="CW49" s="46" t="s">
        <v>23</v>
      </c>
      <c r="CX49" s="49" t="s">
        <v>743</v>
      </c>
      <c r="CY49" s="49" t="s">
        <v>36</v>
      </c>
      <c r="CZ49" s="49">
        <v>0</v>
      </c>
      <c r="DA49" s="49">
        <v>1</v>
      </c>
      <c r="DB49" s="64">
        <v>77210</v>
      </c>
      <c r="DC49" s="58">
        <v>59.72</v>
      </c>
      <c r="DD49" s="58">
        <v>13.61</v>
      </c>
      <c r="DE49" s="58">
        <v>7.16</v>
      </c>
      <c r="DF49" s="58">
        <v>14.63</v>
      </c>
      <c r="DG49" s="58">
        <v>4.8800000000000061</v>
      </c>
      <c r="DH49" s="58">
        <v>40.28</v>
      </c>
      <c r="DI49" s="45" t="s">
        <v>29</v>
      </c>
      <c r="DJ49" s="59" t="str">
        <f t="shared" si="27"/>
        <v>N/A</v>
      </c>
      <c r="DK49" s="65">
        <v>77210</v>
      </c>
      <c r="DL49" s="58">
        <v>59.72</v>
      </c>
      <c r="DM49" s="58">
        <v>13.61</v>
      </c>
      <c r="DN49" s="58">
        <v>7.16</v>
      </c>
      <c r="DO49" s="58">
        <v>40.28</v>
      </c>
      <c r="DP49" s="66">
        <v>50.9</v>
      </c>
      <c r="DQ49" s="67">
        <v>61156.800000000003</v>
      </c>
      <c r="DR49" s="53">
        <v>20</v>
      </c>
      <c r="DS49" s="58">
        <v>73.8</v>
      </c>
      <c r="DT49" s="53">
        <v>42.7</v>
      </c>
      <c r="DU49" s="55">
        <v>2.16</v>
      </c>
      <c r="DV49" s="50">
        <v>32.5</v>
      </c>
      <c r="DW49" s="53">
        <v>92.2</v>
      </c>
      <c r="DX49" s="53">
        <v>79.101399999999998</v>
      </c>
      <c r="DY49" s="53">
        <v>47.097700000000003</v>
      </c>
      <c r="DZ49" s="63"/>
    </row>
    <row r="50" spans="1:130" s="5" customFormat="1" ht="14.25" hidden="1" customHeight="1">
      <c r="A50" s="45">
        <v>1074</v>
      </c>
      <c r="B50" s="47" t="s">
        <v>69</v>
      </c>
      <c r="C50" s="47">
        <v>2002</v>
      </c>
      <c r="D50" s="47" t="s">
        <v>76</v>
      </c>
      <c r="E50" s="46" t="s">
        <v>77</v>
      </c>
      <c r="F50" s="46">
        <v>4</v>
      </c>
      <c r="G50" s="48">
        <v>30000</v>
      </c>
      <c r="H50" s="46" t="s">
        <v>332</v>
      </c>
      <c r="I50" s="46">
        <v>1</v>
      </c>
      <c r="J50" s="46">
        <v>2</v>
      </c>
      <c r="K50" s="49" t="s">
        <v>78</v>
      </c>
      <c r="L50" s="49" t="s">
        <v>40</v>
      </c>
      <c r="M50" s="49" t="s">
        <v>35</v>
      </c>
      <c r="N50" s="49" t="s">
        <v>513</v>
      </c>
      <c r="O50" s="49"/>
      <c r="P50" s="49" t="s">
        <v>31</v>
      </c>
      <c r="Q50" s="49" t="s">
        <v>29</v>
      </c>
      <c r="R50" s="49">
        <v>2</v>
      </c>
      <c r="S50" s="50">
        <f t="shared" si="17"/>
        <v>100</v>
      </c>
      <c r="T50" s="49">
        <v>0</v>
      </c>
      <c r="U50" s="50">
        <f t="shared" si="18"/>
        <v>0</v>
      </c>
      <c r="V50" s="45"/>
      <c r="W50" s="49">
        <v>0</v>
      </c>
      <c r="X50" s="50">
        <f t="shared" si="19"/>
        <v>0</v>
      </c>
      <c r="Y50" s="51" t="str">
        <f t="shared" si="20"/>
        <v>No</v>
      </c>
      <c r="Z50" s="45" t="s">
        <v>29</v>
      </c>
      <c r="AA50" s="49" t="s">
        <v>29</v>
      </c>
      <c r="AB50" s="45" t="s">
        <v>35</v>
      </c>
      <c r="AC50" s="46" t="s">
        <v>26</v>
      </c>
      <c r="AD50" s="46" t="s">
        <v>27</v>
      </c>
      <c r="AE50" s="46" t="s">
        <v>73</v>
      </c>
      <c r="AF50" s="46" t="s">
        <v>29</v>
      </c>
      <c r="AG50" s="103"/>
      <c r="AH50" s="52">
        <v>4627</v>
      </c>
      <c r="AI50" s="52">
        <v>4627</v>
      </c>
      <c r="AJ50" s="102">
        <v>85.54</v>
      </c>
      <c r="AK50" s="104">
        <v>171.08</v>
      </c>
      <c r="AL50" s="102">
        <v>85.54</v>
      </c>
      <c r="AM50" s="102"/>
      <c r="AN50" s="53">
        <f t="shared" si="21"/>
        <v>171.08</v>
      </c>
      <c r="AO50" s="53">
        <v>13.85</v>
      </c>
      <c r="AP50" s="102"/>
      <c r="AQ50" s="102"/>
      <c r="AR50" s="50"/>
      <c r="AS50" s="50"/>
      <c r="AT50" s="102"/>
      <c r="AU50" s="102"/>
      <c r="AV50" s="102"/>
      <c r="AW50" s="102"/>
      <c r="AX50" s="50"/>
      <c r="AY50" s="50"/>
      <c r="AZ50" s="102"/>
      <c r="BA50" s="102"/>
      <c r="BB50" s="102"/>
      <c r="BC50" s="102"/>
      <c r="BD50" s="50"/>
      <c r="BE50" s="50"/>
      <c r="BF50" s="50"/>
      <c r="BG50" s="50"/>
      <c r="BH50" s="102"/>
      <c r="BI50" s="102"/>
      <c r="BJ50" s="102"/>
      <c r="BK50" s="102"/>
      <c r="BL50" s="102"/>
      <c r="BM50" s="102"/>
      <c r="BN50" s="102"/>
      <c r="BO50" s="50"/>
      <c r="BP50" s="50"/>
      <c r="BQ50" s="50"/>
      <c r="BR50" s="102"/>
      <c r="BS50" s="54" t="s">
        <v>23</v>
      </c>
      <c r="BT50" s="45" t="str">
        <f t="shared" si="22"/>
        <v>No</v>
      </c>
      <c r="BU50" s="45" t="str">
        <f t="shared" si="23"/>
        <v>No</v>
      </c>
      <c r="BV50" s="45" t="str">
        <f t="shared" si="24"/>
        <v>No</v>
      </c>
      <c r="BW50" s="55">
        <v>90.656336340978001</v>
      </c>
      <c r="BX50" s="55"/>
      <c r="BY50" s="55">
        <v>90.40133634097802</v>
      </c>
      <c r="BZ50" s="55"/>
      <c r="CA50" s="45">
        <v>2000</v>
      </c>
      <c r="CB50" s="55">
        <f t="shared" si="25"/>
        <v>44.443377197195275</v>
      </c>
      <c r="CC50" s="46" t="s">
        <v>951</v>
      </c>
      <c r="CD50" s="46" t="s">
        <v>952</v>
      </c>
      <c r="CE50" s="46" t="s">
        <v>950</v>
      </c>
      <c r="CF50" s="46">
        <v>2</v>
      </c>
      <c r="CG50" s="46" t="str">
        <f t="shared" si="26"/>
        <v>No</v>
      </c>
      <c r="CH50" s="46" t="s">
        <v>29</v>
      </c>
      <c r="CI50" s="56">
        <v>0</v>
      </c>
      <c r="CJ50" s="46">
        <v>20</v>
      </c>
      <c r="CK50" s="46" t="s">
        <v>23</v>
      </c>
      <c r="CL50" s="49" t="s">
        <v>29</v>
      </c>
      <c r="CM50" s="50">
        <v>0</v>
      </c>
      <c r="CN50" s="50"/>
      <c r="CO50" s="50"/>
      <c r="CP50" s="46" t="s">
        <v>23</v>
      </c>
      <c r="CQ50" s="46" t="s">
        <v>24</v>
      </c>
      <c r="CR50" s="46">
        <v>9</v>
      </c>
      <c r="CS50" s="46" t="s">
        <v>854</v>
      </c>
      <c r="CT50" s="46" t="s">
        <v>856</v>
      </c>
      <c r="CU50" s="46" t="s">
        <v>74</v>
      </c>
      <c r="CV50" s="46">
        <v>2</v>
      </c>
      <c r="CW50" s="46" t="s">
        <v>23</v>
      </c>
      <c r="CX50" s="49" t="s">
        <v>743</v>
      </c>
      <c r="CY50" s="49" t="s">
        <v>36</v>
      </c>
      <c r="CZ50" s="49">
        <v>0</v>
      </c>
      <c r="DA50" s="49">
        <v>1</v>
      </c>
      <c r="DB50" s="64">
        <v>10411</v>
      </c>
      <c r="DC50" s="58">
        <v>60.980000000000004</v>
      </c>
      <c r="DD50" s="58">
        <v>15.129999999999999</v>
      </c>
      <c r="DE50" s="58">
        <v>8.16</v>
      </c>
      <c r="DF50" s="58">
        <v>11.74</v>
      </c>
      <c r="DG50" s="58">
        <v>5.8303717222168858</v>
      </c>
      <c r="DH50" s="58">
        <v>39.019999999999996</v>
      </c>
      <c r="DI50" s="45" t="s">
        <v>29</v>
      </c>
      <c r="DJ50" s="59" t="str">
        <f t="shared" si="27"/>
        <v>N/A</v>
      </c>
      <c r="DK50" s="65">
        <v>10411</v>
      </c>
      <c r="DL50" s="58">
        <v>60.980000000000004</v>
      </c>
      <c r="DM50" s="58">
        <v>15.129999999999999</v>
      </c>
      <c r="DN50" s="58">
        <v>8.16</v>
      </c>
      <c r="DO50" s="58">
        <v>39.019999999999996</v>
      </c>
      <c r="DP50" s="66">
        <v>50.9</v>
      </c>
      <c r="DQ50" s="67">
        <v>61156.800000000003</v>
      </c>
      <c r="DR50" s="53">
        <v>20</v>
      </c>
      <c r="DS50" s="58">
        <v>73.8</v>
      </c>
      <c r="DT50" s="53">
        <v>42.7</v>
      </c>
      <c r="DU50" s="55">
        <v>2.16</v>
      </c>
      <c r="DV50" s="50">
        <v>32.5</v>
      </c>
      <c r="DW50" s="53">
        <v>92.2</v>
      </c>
      <c r="DX50" s="53">
        <v>79.101399999999998</v>
      </c>
      <c r="DY50" s="53">
        <v>47.097700000000003</v>
      </c>
      <c r="DZ50" s="63"/>
    </row>
    <row r="51" spans="1:130" s="5" customFormat="1" ht="14.25" hidden="1" customHeight="1">
      <c r="A51" s="45">
        <v>1075</v>
      </c>
      <c r="B51" s="46" t="s">
        <v>69</v>
      </c>
      <c r="C51" s="47">
        <v>2002</v>
      </c>
      <c r="D51" s="47" t="s">
        <v>79</v>
      </c>
      <c r="E51" s="46" t="s">
        <v>80</v>
      </c>
      <c r="F51" s="46">
        <v>4</v>
      </c>
      <c r="G51" s="48">
        <v>30000</v>
      </c>
      <c r="H51" s="46" t="s">
        <v>332</v>
      </c>
      <c r="I51" s="46">
        <v>1</v>
      </c>
      <c r="J51" s="46">
        <v>4</v>
      </c>
      <c r="K51" s="49" t="s">
        <v>105</v>
      </c>
      <c r="L51" s="49" t="s">
        <v>40</v>
      </c>
      <c r="M51" s="49" t="s">
        <v>35</v>
      </c>
      <c r="N51" s="49" t="s">
        <v>513</v>
      </c>
      <c r="O51" s="49"/>
      <c r="P51" s="49" t="s">
        <v>31</v>
      </c>
      <c r="Q51" s="49" t="s">
        <v>29</v>
      </c>
      <c r="R51" s="49">
        <v>1</v>
      </c>
      <c r="S51" s="50">
        <f t="shared" si="17"/>
        <v>25</v>
      </c>
      <c r="T51" s="49">
        <v>0</v>
      </c>
      <c r="U51" s="50">
        <f t="shared" si="18"/>
        <v>0</v>
      </c>
      <c r="V51" s="45"/>
      <c r="W51" s="49">
        <v>0</v>
      </c>
      <c r="X51" s="50">
        <f t="shared" si="19"/>
        <v>0</v>
      </c>
      <c r="Y51" s="51" t="str">
        <f t="shared" si="20"/>
        <v>No</v>
      </c>
      <c r="Z51" s="45" t="s">
        <v>29</v>
      </c>
      <c r="AA51" s="49" t="s">
        <v>29</v>
      </c>
      <c r="AB51" s="45" t="s">
        <v>35</v>
      </c>
      <c r="AC51" s="46" t="s">
        <v>26</v>
      </c>
      <c r="AD51" s="46" t="s">
        <v>27</v>
      </c>
      <c r="AE51" s="46" t="s">
        <v>73</v>
      </c>
      <c r="AF51" s="46" t="s">
        <v>29</v>
      </c>
      <c r="AG51" s="103"/>
      <c r="AH51" s="52">
        <v>4187</v>
      </c>
      <c r="AI51" s="52">
        <v>4187</v>
      </c>
      <c r="AJ51" s="102">
        <v>66.73</v>
      </c>
      <c r="AK51" s="104">
        <v>133.46</v>
      </c>
      <c r="AL51" s="102">
        <v>66.73</v>
      </c>
      <c r="AM51" s="102"/>
      <c r="AN51" s="53">
        <f t="shared" si="21"/>
        <v>133.46</v>
      </c>
      <c r="AO51" s="53">
        <v>21.11</v>
      </c>
      <c r="AP51" s="102"/>
      <c r="AQ51" s="102"/>
      <c r="AR51" s="50"/>
      <c r="AS51" s="50"/>
      <c r="AT51" s="102"/>
      <c r="AU51" s="102"/>
      <c r="AV51" s="50"/>
      <c r="AW51" s="50"/>
      <c r="AX51" s="50"/>
      <c r="AY51" s="50"/>
      <c r="AZ51" s="102"/>
      <c r="BA51" s="102"/>
      <c r="BB51" s="102"/>
      <c r="BC51" s="102"/>
      <c r="BD51" s="50"/>
      <c r="BE51" s="50"/>
      <c r="BF51" s="50"/>
      <c r="BG51" s="50"/>
      <c r="BH51" s="102"/>
      <c r="BI51" s="102"/>
      <c r="BJ51" s="50"/>
      <c r="BK51" s="50"/>
      <c r="BL51" s="50"/>
      <c r="BM51" s="50"/>
      <c r="BN51" s="102"/>
      <c r="BO51" s="50"/>
      <c r="BP51" s="50"/>
      <c r="BQ51" s="50"/>
      <c r="BR51" s="102"/>
      <c r="BS51" s="54" t="s">
        <v>23</v>
      </c>
      <c r="BT51" s="45" t="str">
        <f t="shared" si="22"/>
        <v>No</v>
      </c>
      <c r="BU51" s="45" t="str">
        <f t="shared" si="23"/>
        <v>No</v>
      </c>
      <c r="BV51" s="45" t="str">
        <f t="shared" si="24"/>
        <v>No</v>
      </c>
      <c r="BW51" s="55">
        <v>90.656336340978001</v>
      </c>
      <c r="BX51" s="55"/>
      <c r="BY51" s="55">
        <v>90.40133634097802</v>
      </c>
      <c r="BZ51" s="55"/>
      <c r="CA51" s="45">
        <v>2000</v>
      </c>
      <c r="CB51" s="55">
        <f t="shared" si="25"/>
        <v>43.682837767344814</v>
      </c>
      <c r="CC51" s="46" t="s">
        <v>951</v>
      </c>
      <c r="CD51" s="46" t="s">
        <v>952</v>
      </c>
      <c r="CE51" s="46" t="s">
        <v>950</v>
      </c>
      <c r="CF51" s="46">
        <v>2</v>
      </c>
      <c r="CG51" s="46" t="str">
        <f t="shared" si="26"/>
        <v>No</v>
      </c>
      <c r="CH51" s="46" t="s">
        <v>29</v>
      </c>
      <c r="CI51" s="56">
        <v>0</v>
      </c>
      <c r="CJ51" s="46">
        <v>20</v>
      </c>
      <c r="CK51" s="46" t="s">
        <v>23</v>
      </c>
      <c r="CL51" s="49" t="s">
        <v>29</v>
      </c>
      <c r="CM51" s="50">
        <v>0</v>
      </c>
      <c r="CN51" s="50"/>
      <c r="CO51" s="50"/>
      <c r="CP51" s="46" t="s">
        <v>23</v>
      </c>
      <c r="CQ51" s="46" t="s">
        <v>24</v>
      </c>
      <c r="CR51" s="46">
        <v>9</v>
      </c>
      <c r="CS51" s="46" t="s">
        <v>854</v>
      </c>
      <c r="CT51" s="46" t="s">
        <v>856</v>
      </c>
      <c r="CU51" s="46" t="s">
        <v>74</v>
      </c>
      <c r="CV51" s="46">
        <v>3</v>
      </c>
      <c r="CW51" s="46" t="s">
        <v>23</v>
      </c>
      <c r="CX51" s="49" t="s">
        <v>743</v>
      </c>
      <c r="CY51" s="49" t="s">
        <v>36</v>
      </c>
      <c r="CZ51" s="49">
        <v>0</v>
      </c>
      <c r="DA51" s="49">
        <v>1</v>
      </c>
      <c r="DB51" s="64">
        <v>9585</v>
      </c>
      <c r="DC51" s="58">
        <v>58.76</v>
      </c>
      <c r="DD51" s="58">
        <v>7.8100000000000005</v>
      </c>
      <c r="DE51" s="58">
        <v>8.2900000000000009</v>
      </c>
      <c r="DF51" s="58">
        <v>20.34</v>
      </c>
      <c r="DG51" s="58">
        <v>6.5206051121544082</v>
      </c>
      <c r="DH51" s="58">
        <v>41.24</v>
      </c>
      <c r="DI51" s="45" t="s">
        <v>29</v>
      </c>
      <c r="DJ51" s="59" t="str">
        <f t="shared" si="27"/>
        <v>N/A</v>
      </c>
      <c r="DK51" s="65">
        <v>9585</v>
      </c>
      <c r="DL51" s="58">
        <v>58.76</v>
      </c>
      <c r="DM51" s="58">
        <v>7.8100000000000005</v>
      </c>
      <c r="DN51" s="58">
        <v>8.2900000000000009</v>
      </c>
      <c r="DO51" s="58">
        <v>41.24</v>
      </c>
      <c r="DP51" s="66">
        <v>50.9</v>
      </c>
      <c r="DQ51" s="67">
        <v>61156.800000000003</v>
      </c>
      <c r="DR51" s="53">
        <v>20</v>
      </c>
      <c r="DS51" s="58">
        <v>73.8</v>
      </c>
      <c r="DT51" s="53">
        <v>42.7</v>
      </c>
      <c r="DU51" s="55">
        <v>2.16</v>
      </c>
      <c r="DV51" s="50">
        <v>32.5</v>
      </c>
      <c r="DW51" s="53">
        <v>92.2</v>
      </c>
      <c r="DX51" s="53">
        <v>79.101399999999998</v>
      </c>
      <c r="DY51" s="53">
        <v>47.097700000000003</v>
      </c>
      <c r="DZ51" s="63"/>
    </row>
    <row r="52" spans="1:130" s="5" customFormat="1" ht="14.25" hidden="1" customHeight="1">
      <c r="A52" s="45">
        <v>1076</v>
      </c>
      <c r="B52" s="46" t="s">
        <v>69</v>
      </c>
      <c r="C52" s="47">
        <v>2002</v>
      </c>
      <c r="D52" s="47" t="s">
        <v>82</v>
      </c>
      <c r="E52" s="46" t="s">
        <v>83</v>
      </c>
      <c r="F52" s="46">
        <v>4</v>
      </c>
      <c r="G52" s="48">
        <v>30000</v>
      </c>
      <c r="H52" s="46" t="s">
        <v>332</v>
      </c>
      <c r="I52" s="46">
        <v>1</v>
      </c>
      <c r="J52" s="46">
        <v>2</v>
      </c>
      <c r="K52" s="49" t="s">
        <v>84</v>
      </c>
      <c r="L52" s="49" t="s">
        <v>30</v>
      </c>
      <c r="M52" s="49" t="s">
        <v>29</v>
      </c>
      <c r="N52" s="49" t="s">
        <v>513</v>
      </c>
      <c r="O52" s="49"/>
      <c r="P52" s="49" t="s">
        <v>31</v>
      </c>
      <c r="Q52" s="49" t="s">
        <v>29</v>
      </c>
      <c r="R52" s="49">
        <v>0</v>
      </c>
      <c r="S52" s="50">
        <f t="shared" si="17"/>
        <v>0</v>
      </c>
      <c r="T52" s="49">
        <v>0</v>
      </c>
      <c r="U52" s="50">
        <f t="shared" si="18"/>
        <v>0</v>
      </c>
      <c r="V52" s="45"/>
      <c r="W52" s="49">
        <v>0</v>
      </c>
      <c r="X52" s="50">
        <f t="shared" si="19"/>
        <v>0</v>
      </c>
      <c r="Y52" s="51" t="str">
        <f t="shared" si="20"/>
        <v>No</v>
      </c>
      <c r="Z52" s="45" t="s">
        <v>29</v>
      </c>
      <c r="AA52" s="49" t="s">
        <v>29</v>
      </c>
      <c r="AB52" s="49" t="s">
        <v>29</v>
      </c>
      <c r="AC52" s="46" t="s">
        <v>26</v>
      </c>
      <c r="AD52" s="46" t="s">
        <v>27</v>
      </c>
      <c r="AE52" s="46" t="s">
        <v>73</v>
      </c>
      <c r="AF52" s="46" t="s">
        <v>29</v>
      </c>
      <c r="AG52" s="103"/>
      <c r="AH52" s="52">
        <v>4061</v>
      </c>
      <c r="AI52" s="52">
        <v>4061</v>
      </c>
      <c r="AJ52" s="102">
        <v>61.02</v>
      </c>
      <c r="AK52" s="104">
        <v>122.04</v>
      </c>
      <c r="AL52" s="102">
        <v>61.02</v>
      </c>
      <c r="AM52" s="102"/>
      <c r="AN52" s="53">
        <f t="shared" si="21"/>
        <v>122.04</v>
      </c>
      <c r="AO52" s="53">
        <v>38.409999999999997</v>
      </c>
      <c r="AP52" s="102"/>
      <c r="AQ52" s="102"/>
      <c r="AR52" s="50"/>
      <c r="AS52" s="50"/>
      <c r="AT52" s="102"/>
      <c r="AU52" s="102"/>
      <c r="AV52" s="50"/>
      <c r="AW52" s="50"/>
      <c r="AX52" s="50"/>
      <c r="AY52" s="50"/>
      <c r="AZ52" s="102"/>
      <c r="BA52" s="102"/>
      <c r="BB52" s="102"/>
      <c r="BC52" s="102"/>
      <c r="BD52" s="50"/>
      <c r="BE52" s="50"/>
      <c r="BF52" s="50"/>
      <c r="BG52" s="50"/>
      <c r="BH52" s="102"/>
      <c r="BI52" s="102"/>
      <c r="BJ52" s="50"/>
      <c r="BK52" s="50"/>
      <c r="BL52" s="50"/>
      <c r="BM52" s="50"/>
      <c r="BN52" s="102"/>
      <c r="BO52" s="50"/>
      <c r="BP52" s="50"/>
      <c r="BQ52" s="50"/>
      <c r="BR52" s="102"/>
      <c r="BS52" s="54" t="s">
        <v>23</v>
      </c>
      <c r="BT52" s="45" t="str">
        <f t="shared" si="22"/>
        <v>Yes</v>
      </c>
      <c r="BU52" s="45" t="str">
        <f t="shared" si="23"/>
        <v>No</v>
      </c>
      <c r="BV52" s="45" t="str">
        <f t="shared" si="24"/>
        <v>No</v>
      </c>
      <c r="BW52" s="55">
        <v>90.656336340978001</v>
      </c>
      <c r="BX52" s="55"/>
      <c r="BY52" s="55">
        <v>90.40133634097802</v>
      </c>
      <c r="BZ52" s="55"/>
      <c r="CA52" s="45">
        <v>2000</v>
      </c>
      <c r="CB52" s="55">
        <f t="shared" si="25"/>
        <v>40.172123850034623</v>
      </c>
      <c r="CC52" s="46" t="s">
        <v>951</v>
      </c>
      <c r="CD52" s="46" t="s">
        <v>952</v>
      </c>
      <c r="CE52" s="46" t="s">
        <v>950</v>
      </c>
      <c r="CF52" s="46">
        <v>2</v>
      </c>
      <c r="CG52" s="46" t="str">
        <f t="shared" si="26"/>
        <v>No</v>
      </c>
      <c r="CH52" s="46" t="s">
        <v>29</v>
      </c>
      <c r="CI52" s="56">
        <v>0</v>
      </c>
      <c r="CJ52" s="46">
        <v>20</v>
      </c>
      <c r="CK52" s="46" t="s">
        <v>23</v>
      </c>
      <c r="CL52" s="49" t="s">
        <v>29</v>
      </c>
      <c r="CM52" s="50">
        <v>0</v>
      </c>
      <c r="CN52" s="50"/>
      <c r="CO52" s="50"/>
      <c r="CP52" s="46" t="s">
        <v>23</v>
      </c>
      <c r="CQ52" s="46" t="s">
        <v>24</v>
      </c>
      <c r="CR52" s="46">
        <v>9</v>
      </c>
      <c r="CS52" s="46" t="s">
        <v>854</v>
      </c>
      <c r="CT52" s="46" t="s">
        <v>856</v>
      </c>
      <c r="CU52" s="46" t="s">
        <v>74</v>
      </c>
      <c r="CV52" s="46">
        <v>2</v>
      </c>
      <c r="CW52" s="46" t="s">
        <v>23</v>
      </c>
      <c r="CX52" s="49" t="s">
        <v>743</v>
      </c>
      <c r="CY52" s="49" t="s">
        <v>36</v>
      </c>
      <c r="CZ52" s="49">
        <v>0</v>
      </c>
      <c r="DA52" s="49">
        <v>1</v>
      </c>
      <c r="DB52" s="64">
        <v>10109</v>
      </c>
      <c r="DC52" s="58">
        <v>51.580000000000005</v>
      </c>
      <c r="DD52" s="58">
        <v>3.61</v>
      </c>
      <c r="DE52" s="58">
        <v>9.1399999999999988</v>
      </c>
      <c r="DF52" s="58">
        <v>28.53</v>
      </c>
      <c r="DG52" s="58">
        <v>10.465921456128202</v>
      </c>
      <c r="DH52" s="58">
        <v>48.419999999999995</v>
      </c>
      <c r="DI52" s="45" t="s">
        <v>29</v>
      </c>
      <c r="DJ52" s="59" t="str">
        <f t="shared" si="27"/>
        <v>N/A</v>
      </c>
      <c r="DK52" s="65">
        <v>10109</v>
      </c>
      <c r="DL52" s="58">
        <v>51.580000000000005</v>
      </c>
      <c r="DM52" s="58">
        <v>3.61</v>
      </c>
      <c r="DN52" s="58">
        <v>9.1399999999999988</v>
      </c>
      <c r="DO52" s="58">
        <v>48.419999999999995</v>
      </c>
      <c r="DP52" s="66">
        <v>50.9</v>
      </c>
      <c r="DQ52" s="67">
        <v>61156.800000000003</v>
      </c>
      <c r="DR52" s="53">
        <v>20</v>
      </c>
      <c r="DS52" s="58">
        <v>73.8</v>
      </c>
      <c r="DT52" s="53">
        <v>42.7</v>
      </c>
      <c r="DU52" s="55">
        <v>2.16</v>
      </c>
      <c r="DV52" s="50">
        <v>32.5</v>
      </c>
      <c r="DW52" s="53">
        <v>92.2</v>
      </c>
      <c r="DX52" s="53">
        <v>79.101399999999998</v>
      </c>
      <c r="DY52" s="53">
        <v>47.097700000000003</v>
      </c>
      <c r="DZ52" s="63"/>
    </row>
    <row r="53" spans="1:130" s="5" customFormat="1" ht="14.25" hidden="1" customHeight="1">
      <c r="A53" s="45">
        <v>1077</v>
      </c>
      <c r="B53" s="46" t="s">
        <v>69</v>
      </c>
      <c r="C53" s="47">
        <v>2002</v>
      </c>
      <c r="D53" s="47" t="s">
        <v>85</v>
      </c>
      <c r="E53" s="46" t="s">
        <v>86</v>
      </c>
      <c r="F53" s="46">
        <v>4</v>
      </c>
      <c r="G53" s="48">
        <v>30000</v>
      </c>
      <c r="H53" s="46" t="s">
        <v>332</v>
      </c>
      <c r="I53" s="46">
        <v>1</v>
      </c>
      <c r="J53" s="46">
        <v>4</v>
      </c>
      <c r="K53" s="49" t="s">
        <v>104</v>
      </c>
      <c r="L53" s="49" t="s">
        <v>30</v>
      </c>
      <c r="M53" s="49" t="s">
        <v>29</v>
      </c>
      <c r="N53" s="49" t="s">
        <v>512</v>
      </c>
      <c r="O53" s="49"/>
      <c r="P53" s="49" t="s">
        <v>31</v>
      </c>
      <c r="Q53" s="49" t="s">
        <v>29</v>
      </c>
      <c r="R53" s="49">
        <v>1</v>
      </c>
      <c r="S53" s="50">
        <f t="shared" si="17"/>
        <v>25</v>
      </c>
      <c r="T53" s="49">
        <v>0</v>
      </c>
      <c r="U53" s="50">
        <f t="shared" si="18"/>
        <v>0</v>
      </c>
      <c r="V53" s="45"/>
      <c r="W53" s="49">
        <v>0</v>
      </c>
      <c r="X53" s="50">
        <f t="shared" si="19"/>
        <v>0</v>
      </c>
      <c r="Y53" s="51" t="str">
        <f t="shared" si="20"/>
        <v>No</v>
      </c>
      <c r="Z53" s="45" t="s">
        <v>35</v>
      </c>
      <c r="AA53" s="49" t="s">
        <v>23</v>
      </c>
      <c r="AB53" s="49" t="s">
        <v>23</v>
      </c>
      <c r="AC53" s="46" t="s">
        <v>267</v>
      </c>
      <c r="AD53" s="46" t="s">
        <v>268</v>
      </c>
      <c r="AE53" s="46" t="s">
        <v>73</v>
      </c>
      <c r="AF53" s="46" t="s">
        <v>29</v>
      </c>
      <c r="AG53" s="103"/>
      <c r="AH53" s="52">
        <v>4755</v>
      </c>
      <c r="AI53" s="52">
        <v>4307</v>
      </c>
      <c r="AJ53" s="102">
        <v>44.25</v>
      </c>
      <c r="AK53" s="104">
        <v>88.5</v>
      </c>
      <c r="AL53" s="102">
        <v>58.3</v>
      </c>
      <c r="AM53" s="102"/>
      <c r="AN53" s="53">
        <f t="shared" si="21"/>
        <v>116.6</v>
      </c>
      <c r="AO53" s="53">
        <v>33.21</v>
      </c>
      <c r="AP53" s="102"/>
      <c r="AQ53" s="102"/>
      <c r="AR53" s="50"/>
      <c r="AS53" s="50"/>
      <c r="AT53" s="102"/>
      <c r="AU53" s="102"/>
      <c r="AV53" s="50"/>
      <c r="AW53" s="50"/>
      <c r="AX53" s="50"/>
      <c r="AY53" s="50"/>
      <c r="AZ53" s="102"/>
      <c r="BA53" s="102"/>
      <c r="BB53" s="102"/>
      <c r="BC53" s="102"/>
      <c r="BD53" s="50"/>
      <c r="BE53" s="50"/>
      <c r="BF53" s="50"/>
      <c r="BG53" s="50"/>
      <c r="BH53" s="102"/>
      <c r="BI53" s="102"/>
      <c r="BJ53" s="50"/>
      <c r="BK53" s="50"/>
      <c r="BL53" s="50"/>
      <c r="BM53" s="50"/>
      <c r="BN53" s="102">
        <v>44.25</v>
      </c>
      <c r="BO53" s="50">
        <f>AI53-AH53</f>
        <v>-448</v>
      </c>
      <c r="BP53" s="50">
        <f>BO53/AH53 *100</f>
        <v>-9.4216614090431126</v>
      </c>
      <c r="BQ53" s="50" t="str">
        <f>IF(AND((AH53*(BN53/100))&gt;(AI53*(AL53/100)),  AJ53 &lt;&gt;  BN53), "yes", "no")</f>
        <v>no</v>
      </c>
      <c r="BR53" s="102"/>
      <c r="BS53" s="54" t="s">
        <v>29</v>
      </c>
      <c r="BT53" s="45" t="str">
        <f t="shared" si="22"/>
        <v>Yes</v>
      </c>
      <c r="BU53" s="45" t="str">
        <f t="shared" si="23"/>
        <v>Yes</v>
      </c>
      <c r="BV53" s="45" t="str">
        <f t="shared" si="24"/>
        <v>No</v>
      </c>
      <c r="BW53" s="55">
        <v>90.656336340978001</v>
      </c>
      <c r="BX53" s="55"/>
      <c r="BY53" s="55">
        <v>90.40133634097802</v>
      </c>
      <c r="BZ53" s="55"/>
      <c r="CA53" s="45">
        <v>2000</v>
      </c>
      <c r="CB53" s="55">
        <f t="shared" si="25"/>
        <v>46.078955814699903</v>
      </c>
      <c r="CC53" s="46" t="s">
        <v>951</v>
      </c>
      <c r="CD53" s="46" t="s">
        <v>952</v>
      </c>
      <c r="CE53" s="46" t="s">
        <v>950</v>
      </c>
      <c r="CF53" s="46">
        <v>2</v>
      </c>
      <c r="CG53" s="46" t="str">
        <f t="shared" si="26"/>
        <v>No</v>
      </c>
      <c r="CH53" s="46" t="s">
        <v>29</v>
      </c>
      <c r="CI53" s="56">
        <v>0</v>
      </c>
      <c r="CJ53" s="46">
        <v>20</v>
      </c>
      <c r="CK53" s="46" t="s">
        <v>23</v>
      </c>
      <c r="CL53" s="49" t="s">
        <v>29</v>
      </c>
      <c r="CM53" s="50">
        <v>0</v>
      </c>
      <c r="CN53" s="50"/>
      <c r="CO53" s="50"/>
      <c r="CP53" s="46" t="s">
        <v>23</v>
      </c>
      <c r="CQ53" s="46" t="s">
        <v>24</v>
      </c>
      <c r="CR53" s="46">
        <v>9</v>
      </c>
      <c r="CS53" s="46" t="s">
        <v>854</v>
      </c>
      <c r="CT53" s="46" t="s">
        <v>856</v>
      </c>
      <c r="CU53" s="46" t="s">
        <v>74</v>
      </c>
      <c r="CV53" s="46">
        <v>2</v>
      </c>
      <c r="CW53" s="46" t="s">
        <v>23</v>
      </c>
      <c r="CX53" s="49" t="s">
        <v>743</v>
      </c>
      <c r="CY53" s="49" t="s">
        <v>36</v>
      </c>
      <c r="CZ53" s="49">
        <v>0</v>
      </c>
      <c r="DA53" s="49">
        <v>1</v>
      </c>
      <c r="DB53" s="64">
        <v>9347</v>
      </c>
      <c r="DC53" s="58">
        <v>70.48</v>
      </c>
      <c r="DD53" s="58">
        <v>2.56</v>
      </c>
      <c r="DE53" s="58">
        <v>5.62</v>
      </c>
      <c r="DF53" s="58">
        <v>16.009999999999998</v>
      </c>
      <c r="DG53" s="58">
        <v>8.4947041831603709</v>
      </c>
      <c r="DH53" s="58">
        <v>29.520000000000003</v>
      </c>
      <c r="DI53" s="45" t="s">
        <v>29</v>
      </c>
      <c r="DJ53" s="59" t="str">
        <f t="shared" si="27"/>
        <v>N/A</v>
      </c>
      <c r="DK53" s="65">
        <v>9347</v>
      </c>
      <c r="DL53" s="58">
        <v>70.48</v>
      </c>
      <c r="DM53" s="58">
        <v>2.56</v>
      </c>
      <c r="DN53" s="58">
        <v>5.62</v>
      </c>
      <c r="DO53" s="58">
        <v>29.520000000000003</v>
      </c>
      <c r="DP53" s="66">
        <v>50.9</v>
      </c>
      <c r="DQ53" s="67">
        <v>61156.800000000003</v>
      </c>
      <c r="DR53" s="53">
        <v>20</v>
      </c>
      <c r="DS53" s="58">
        <v>73.8</v>
      </c>
      <c r="DT53" s="53">
        <v>42.7</v>
      </c>
      <c r="DU53" s="55">
        <v>2.16</v>
      </c>
      <c r="DV53" s="50">
        <v>32.5</v>
      </c>
      <c r="DW53" s="53">
        <v>92.2</v>
      </c>
      <c r="DX53" s="53">
        <v>79.101399999999998</v>
      </c>
      <c r="DY53" s="53">
        <v>47.097700000000003</v>
      </c>
      <c r="DZ53" s="63"/>
    </row>
    <row r="54" spans="1:130" s="5" customFormat="1" ht="14.25" hidden="1" customHeight="1">
      <c r="A54" s="45">
        <v>1072</v>
      </c>
      <c r="B54" s="47" t="s">
        <v>69</v>
      </c>
      <c r="C54" s="47">
        <v>2002</v>
      </c>
      <c r="D54" s="47" t="s">
        <v>38</v>
      </c>
      <c r="E54" s="46" t="s">
        <v>22</v>
      </c>
      <c r="F54" s="46">
        <v>4</v>
      </c>
      <c r="G54" s="48">
        <f>12*4217</f>
        <v>50604</v>
      </c>
      <c r="H54" s="46" t="s">
        <v>332</v>
      </c>
      <c r="I54" s="46">
        <v>1</v>
      </c>
      <c r="J54" s="46">
        <v>3</v>
      </c>
      <c r="K54" s="49" t="s">
        <v>90</v>
      </c>
      <c r="L54" s="49" t="s">
        <v>30</v>
      </c>
      <c r="M54" s="49" t="s">
        <v>29</v>
      </c>
      <c r="N54" s="49" t="s">
        <v>512</v>
      </c>
      <c r="O54" s="49"/>
      <c r="P54" s="49" t="s">
        <v>31</v>
      </c>
      <c r="Q54" s="49" t="s">
        <v>29</v>
      </c>
      <c r="R54" s="49">
        <v>1</v>
      </c>
      <c r="S54" s="50">
        <f t="shared" si="17"/>
        <v>33.333333333333329</v>
      </c>
      <c r="T54" s="49">
        <v>0</v>
      </c>
      <c r="U54" s="50">
        <f t="shared" si="18"/>
        <v>0</v>
      </c>
      <c r="V54" s="45"/>
      <c r="W54" s="49">
        <v>0</v>
      </c>
      <c r="X54" s="50">
        <f t="shared" si="19"/>
        <v>0</v>
      </c>
      <c r="Y54" s="51" t="str">
        <f t="shared" si="20"/>
        <v>No</v>
      </c>
      <c r="Z54" s="45" t="s">
        <v>35</v>
      </c>
      <c r="AA54" s="49" t="s">
        <v>23</v>
      </c>
      <c r="AB54" s="49" t="s">
        <v>23</v>
      </c>
      <c r="AC54" s="46" t="s">
        <v>26</v>
      </c>
      <c r="AD54" s="46" t="s">
        <v>27</v>
      </c>
      <c r="AE54" s="46" t="s">
        <v>73</v>
      </c>
      <c r="AF54" s="46" t="s">
        <v>29</v>
      </c>
      <c r="AG54" s="103"/>
      <c r="AH54" s="52">
        <v>40142</v>
      </c>
      <c r="AI54" s="52">
        <v>40142</v>
      </c>
      <c r="AJ54" s="102">
        <v>55.4</v>
      </c>
      <c r="AK54" s="104">
        <v>110.8</v>
      </c>
      <c r="AL54" s="102">
        <v>55.4</v>
      </c>
      <c r="AM54" s="102"/>
      <c r="AN54" s="53">
        <f t="shared" si="21"/>
        <v>110.8</v>
      </c>
      <c r="AO54" s="53">
        <v>42.94</v>
      </c>
      <c r="AP54" s="102"/>
      <c r="AQ54" s="102"/>
      <c r="AR54" s="102"/>
      <c r="AS54" s="102"/>
      <c r="AT54" s="102"/>
      <c r="AU54" s="102"/>
      <c r="AV54" s="50"/>
      <c r="AW54" s="50"/>
      <c r="AX54" s="102"/>
      <c r="AY54" s="102"/>
      <c r="AZ54" s="102"/>
      <c r="BA54" s="102"/>
      <c r="BB54" s="102"/>
      <c r="BC54" s="102"/>
      <c r="BD54" s="102"/>
      <c r="BE54" s="102"/>
      <c r="BF54" s="102"/>
      <c r="BG54" s="102"/>
      <c r="BH54" s="102"/>
      <c r="BI54" s="102"/>
      <c r="BJ54" s="50"/>
      <c r="BK54" s="50"/>
      <c r="BL54" s="50"/>
      <c r="BM54" s="50"/>
      <c r="BN54" s="102"/>
      <c r="BO54" s="102"/>
      <c r="BP54" s="102"/>
      <c r="BQ54" s="102"/>
      <c r="BR54" s="102"/>
      <c r="BS54" s="54" t="s">
        <v>23</v>
      </c>
      <c r="BT54" s="45" t="str">
        <f t="shared" si="22"/>
        <v>Yes</v>
      </c>
      <c r="BU54" s="45" t="str">
        <f t="shared" si="23"/>
        <v>Yes</v>
      </c>
      <c r="BV54" s="45" t="str">
        <f t="shared" si="24"/>
        <v>No</v>
      </c>
      <c r="BW54" s="55">
        <v>90.656336340978001</v>
      </c>
      <c r="BX54" s="55">
        <v>90.656336340978001</v>
      </c>
      <c r="BY54" s="55">
        <v>90.40133634097802</v>
      </c>
      <c r="BZ54" s="55">
        <f>BX54-(0.0051*100/2)</f>
        <v>90.401336340978006</v>
      </c>
      <c r="CA54" s="45">
        <v>2000</v>
      </c>
      <c r="CB54" s="55">
        <f t="shared" si="25"/>
        <v>51.990674783059191</v>
      </c>
      <c r="CC54" s="46" t="s">
        <v>951</v>
      </c>
      <c r="CD54" s="46" t="s">
        <v>952</v>
      </c>
      <c r="CE54" s="46" t="s">
        <v>950</v>
      </c>
      <c r="CF54" s="46">
        <v>2</v>
      </c>
      <c r="CG54" s="46" t="str">
        <f t="shared" si="26"/>
        <v>No</v>
      </c>
      <c r="CH54" s="46" t="s">
        <v>29</v>
      </c>
      <c r="CI54" s="56">
        <v>0</v>
      </c>
      <c r="CJ54" s="46">
        <v>20</v>
      </c>
      <c r="CK54" s="46" t="s">
        <v>23</v>
      </c>
      <c r="CL54" s="49" t="s">
        <v>29</v>
      </c>
      <c r="CM54" s="50">
        <v>0</v>
      </c>
      <c r="CN54" s="50">
        <v>367481.51880000002</v>
      </c>
      <c r="CO54" s="50" t="s">
        <v>35</v>
      </c>
      <c r="CP54" s="46" t="s">
        <v>23</v>
      </c>
      <c r="CQ54" s="46" t="s">
        <v>23</v>
      </c>
      <c r="CR54" s="46">
        <v>9</v>
      </c>
      <c r="CS54" s="46" t="s">
        <v>854</v>
      </c>
      <c r="CT54" s="46" t="s">
        <v>53</v>
      </c>
      <c r="CU54" s="46" t="s">
        <v>74</v>
      </c>
      <c r="CV54" s="46">
        <v>3</v>
      </c>
      <c r="CW54" s="46" t="s">
        <v>23</v>
      </c>
      <c r="CX54" s="49" t="s">
        <v>743</v>
      </c>
      <c r="CY54" s="49" t="s">
        <v>36</v>
      </c>
      <c r="CZ54" s="49">
        <v>0</v>
      </c>
      <c r="DA54" s="49">
        <v>1</v>
      </c>
      <c r="DB54" s="64">
        <v>77210</v>
      </c>
      <c r="DC54" s="58">
        <v>59.72</v>
      </c>
      <c r="DD54" s="58">
        <v>13.61</v>
      </c>
      <c r="DE54" s="58">
        <v>7.16</v>
      </c>
      <c r="DF54" s="58">
        <v>14.63</v>
      </c>
      <c r="DG54" s="58">
        <v>4.8800000000000061</v>
      </c>
      <c r="DH54" s="58">
        <v>40.28</v>
      </c>
      <c r="DI54" s="45" t="s">
        <v>29</v>
      </c>
      <c r="DJ54" s="59" t="str">
        <f t="shared" si="27"/>
        <v>N/A</v>
      </c>
      <c r="DK54" s="65">
        <v>77210</v>
      </c>
      <c r="DL54" s="58">
        <v>59.72</v>
      </c>
      <c r="DM54" s="58">
        <v>13.61</v>
      </c>
      <c r="DN54" s="58">
        <v>7.16</v>
      </c>
      <c r="DO54" s="58">
        <v>40.28</v>
      </c>
      <c r="DP54" s="66">
        <v>50.9</v>
      </c>
      <c r="DQ54" s="67">
        <v>61156.800000000003</v>
      </c>
      <c r="DR54" s="53">
        <v>20</v>
      </c>
      <c r="DS54" s="58">
        <v>73.8</v>
      </c>
      <c r="DT54" s="53">
        <v>42.7</v>
      </c>
      <c r="DU54" s="55">
        <v>2.16</v>
      </c>
      <c r="DV54" s="50">
        <v>32.5</v>
      </c>
      <c r="DW54" s="53">
        <v>92.2</v>
      </c>
      <c r="DX54" s="53">
        <v>79.101399999999998</v>
      </c>
      <c r="DY54" s="53">
        <v>47.097700000000003</v>
      </c>
      <c r="DZ54" s="63"/>
    </row>
    <row r="55" spans="1:130" s="5" customFormat="1" ht="14.25" hidden="1" customHeight="1">
      <c r="A55" s="45">
        <v>1068</v>
      </c>
      <c r="B55" s="47" t="s">
        <v>69</v>
      </c>
      <c r="C55" s="47">
        <v>2004</v>
      </c>
      <c r="D55" s="47" t="s">
        <v>91</v>
      </c>
      <c r="E55" s="71" t="s">
        <v>92</v>
      </c>
      <c r="F55" s="46">
        <v>4</v>
      </c>
      <c r="G55" s="48">
        <v>30000</v>
      </c>
      <c r="H55" s="46" t="s">
        <v>332</v>
      </c>
      <c r="I55" s="46">
        <v>1</v>
      </c>
      <c r="J55" s="46">
        <v>2</v>
      </c>
      <c r="K55" s="49" t="s">
        <v>93</v>
      </c>
      <c r="L55" s="49" t="s">
        <v>30</v>
      </c>
      <c r="M55" s="49" t="s">
        <v>29</v>
      </c>
      <c r="N55" s="49" t="s">
        <v>512</v>
      </c>
      <c r="O55" s="49"/>
      <c r="P55" s="49" t="s">
        <v>201</v>
      </c>
      <c r="Q55" s="49" t="s">
        <v>35</v>
      </c>
      <c r="R55" s="49">
        <v>1</v>
      </c>
      <c r="S55" s="50">
        <f t="shared" si="17"/>
        <v>50</v>
      </c>
      <c r="T55" s="49">
        <v>1</v>
      </c>
      <c r="U55" s="50">
        <f t="shared" si="18"/>
        <v>50</v>
      </c>
      <c r="V55" s="49" t="s">
        <v>858</v>
      </c>
      <c r="W55" s="49">
        <v>0</v>
      </c>
      <c r="X55" s="50">
        <f t="shared" si="19"/>
        <v>0</v>
      </c>
      <c r="Y55" s="51" t="str">
        <f t="shared" si="20"/>
        <v>No</v>
      </c>
      <c r="Z55" s="49" t="s">
        <v>35</v>
      </c>
      <c r="AA55" s="49" t="s">
        <v>23</v>
      </c>
      <c r="AB55" s="49" t="s">
        <v>23</v>
      </c>
      <c r="AC55" s="46" t="s">
        <v>26</v>
      </c>
      <c r="AD55" s="46" t="s">
        <v>27</v>
      </c>
      <c r="AE55" s="46" t="s">
        <v>89</v>
      </c>
      <c r="AF55" s="46" t="s">
        <v>29</v>
      </c>
      <c r="AG55" s="103"/>
      <c r="AH55" s="52">
        <v>4933</v>
      </c>
      <c r="AI55" s="52">
        <v>4933</v>
      </c>
      <c r="AJ55" s="102">
        <v>69.650000000000006</v>
      </c>
      <c r="AK55" s="104">
        <v>139.30000000000001</v>
      </c>
      <c r="AL55" s="102">
        <v>69.650000000000006</v>
      </c>
      <c r="AM55" s="102"/>
      <c r="AN55" s="53">
        <f t="shared" si="21"/>
        <v>139.30000000000001</v>
      </c>
      <c r="AO55" s="53">
        <v>29.47</v>
      </c>
      <c r="AP55" s="102"/>
      <c r="AQ55" s="102"/>
      <c r="AR55" s="50"/>
      <c r="AS55" s="50"/>
      <c r="AT55" s="102"/>
      <c r="AU55" s="102"/>
      <c r="AV55" s="102"/>
      <c r="AW55" s="102"/>
      <c r="AX55" s="50"/>
      <c r="AY55" s="50"/>
      <c r="AZ55" s="102"/>
      <c r="BA55" s="102"/>
      <c r="BB55" s="102"/>
      <c r="BC55" s="102"/>
      <c r="BD55" s="50"/>
      <c r="BE55" s="50"/>
      <c r="BF55" s="50"/>
      <c r="BG55" s="50"/>
      <c r="BH55" s="102"/>
      <c r="BI55" s="102"/>
      <c r="BJ55" s="102"/>
      <c r="BK55" s="102"/>
      <c r="BL55" s="102"/>
      <c r="BM55" s="102"/>
      <c r="BN55" s="102"/>
      <c r="BO55" s="50"/>
      <c r="BP55" s="50"/>
      <c r="BQ55" s="50"/>
      <c r="BR55" s="102"/>
      <c r="BS55" s="54" t="s">
        <v>23</v>
      </c>
      <c r="BT55" s="45" t="str">
        <f t="shared" si="22"/>
        <v>No</v>
      </c>
      <c r="BU55" s="45" t="str">
        <f t="shared" si="23"/>
        <v>No</v>
      </c>
      <c r="BV55" s="45" t="str">
        <f t="shared" si="24"/>
        <v>No</v>
      </c>
      <c r="BW55" s="55">
        <v>92.6830347268303</v>
      </c>
      <c r="BX55" s="55"/>
      <c r="BY55" s="55">
        <v>93.913034726830347</v>
      </c>
      <c r="BZ55" s="55"/>
      <c r="CA55" s="45">
        <v>2004</v>
      </c>
      <c r="CB55" s="55">
        <f t="shared" si="25"/>
        <v>56.864553314121039</v>
      </c>
      <c r="CC55" s="46" t="s">
        <v>951</v>
      </c>
      <c r="CD55" s="46" t="s">
        <v>952</v>
      </c>
      <c r="CE55" s="46" t="s">
        <v>950</v>
      </c>
      <c r="CF55" s="46">
        <v>2</v>
      </c>
      <c r="CG55" s="46" t="str">
        <f t="shared" si="26"/>
        <v>No</v>
      </c>
      <c r="CH55" s="46" t="s">
        <v>29</v>
      </c>
      <c r="CI55" s="56">
        <v>0</v>
      </c>
      <c r="CJ55" s="46">
        <v>20</v>
      </c>
      <c r="CK55" s="46" t="s">
        <v>23</v>
      </c>
      <c r="CL55" s="49" t="s">
        <v>29</v>
      </c>
      <c r="CM55" s="50">
        <v>0</v>
      </c>
      <c r="CN55" s="50"/>
      <c r="CO55" s="50"/>
      <c r="CP55" s="46" t="s">
        <v>23</v>
      </c>
      <c r="CQ55" s="46" t="s">
        <v>24</v>
      </c>
      <c r="CR55" s="46">
        <v>9</v>
      </c>
      <c r="CS55" s="46" t="s">
        <v>854</v>
      </c>
      <c r="CT55" s="46" t="s">
        <v>856</v>
      </c>
      <c r="CU55" s="46" t="s">
        <v>74</v>
      </c>
      <c r="CV55" s="46">
        <v>2</v>
      </c>
      <c r="CW55" s="46" t="s">
        <v>23</v>
      </c>
      <c r="CX55" s="49" t="s">
        <v>743</v>
      </c>
      <c r="CY55" s="49" t="s">
        <v>36</v>
      </c>
      <c r="CZ55" s="49">
        <v>0</v>
      </c>
      <c r="DA55" s="49">
        <v>1</v>
      </c>
      <c r="DB55" s="64">
        <v>8675</v>
      </c>
      <c r="DC55" s="58">
        <v>36.11</v>
      </c>
      <c r="DD55" s="58">
        <v>43.72</v>
      </c>
      <c r="DE55" s="58">
        <v>9.0499999999999989</v>
      </c>
      <c r="DF55" s="58">
        <v>6.5100000000000007</v>
      </c>
      <c r="DG55" s="58">
        <v>6.3976945244956767</v>
      </c>
      <c r="DH55" s="58">
        <v>63.89</v>
      </c>
      <c r="DI55" s="45" t="s">
        <v>35</v>
      </c>
      <c r="DJ55" s="59" t="str">
        <f t="shared" si="27"/>
        <v>No single majority group</v>
      </c>
      <c r="DK55" s="65">
        <v>8675</v>
      </c>
      <c r="DL55" s="58">
        <v>36.11</v>
      </c>
      <c r="DM55" s="58">
        <v>43.72</v>
      </c>
      <c r="DN55" s="58">
        <v>9.0499999999999989</v>
      </c>
      <c r="DO55" s="58">
        <v>63.89</v>
      </c>
      <c r="DP55" s="66">
        <v>50.9</v>
      </c>
      <c r="DQ55" s="67">
        <v>61156.800000000003</v>
      </c>
      <c r="DR55" s="53">
        <v>20</v>
      </c>
      <c r="DS55" s="58">
        <v>73.8</v>
      </c>
      <c r="DT55" s="53">
        <v>42.7</v>
      </c>
      <c r="DU55" s="55">
        <v>2.16</v>
      </c>
      <c r="DV55" s="50">
        <v>32.5</v>
      </c>
      <c r="DW55" s="53">
        <v>92.2</v>
      </c>
      <c r="DX55" s="53">
        <v>79.101399999999998</v>
      </c>
      <c r="DY55" s="53">
        <v>47.097700000000003</v>
      </c>
      <c r="DZ55" s="63"/>
    </row>
    <row r="56" spans="1:130" s="5" customFormat="1" ht="14.25" hidden="1" customHeight="1">
      <c r="A56" s="45">
        <v>1069</v>
      </c>
      <c r="B56" s="47" t="s">
        <v>69</v>
      </c>
      <c r="C56" s="47">
        <v>2004</v>
      </c>
      <c r="D56" s="47" t="s">
        <v>94</v>
      </c>
      <c r="E56" s="46" t="s">
        <v>95</v>
      </c>
      <c r="F56" s="46">
        <v>4</v>
      </c>
      <c r="G56" s="48">
        <v>30000</v>
      </c>
      <c r="H56" s="46" t="s">
        <v>332</v>
      </c>
      <c r="I56" s="46">
        <v>1</v>
      </c>
      <c r="J56" s="46">
        <v>3</v>
      </c>
      <c r="K56" s="49" t="s">
        <v>96</v>
      </c>
      <c r="L56" s="49" t="s">
        <v>30</v>
      </c>
      <c r="M56" s="49" t="s">
        <v>29</v>
      </c>
      <c r="N56" s="49" t="s">
        <v>512</v>
      </c>
      <c r="O56" s="49"/>
      <c r="P56" s="49" t="s">
        <v>201</v>
      </c>
      <c r="Q56" s="49" t="s">
        <v>35</v>
      </c>
      <c r="R56" s="49">
        <v>1</v>
      </c>
      <c r="S56" s="50">
        <f t="shared" si="17"/>
        <v>33.333333333333329</v>
      </c>
      <c r="T56" s="49">
        <v>1</v>
      </c>
      <c r="U56" s="50">
        <f t="shared" si="18"/>
        <v>33.333333333333329</v>
      </c>
      <c r="V56" s="49" t="s">
        <v>858</v>
      </c>
      <c r="W56" s="49">
        <v>0</v>
      </c>
      <c r="X56" s="50">
        <f t="shared" si="19"/>
        <v>0</v>
      </c>
      <c r="Y56" s="51" t="str">
        <f t="shared" si="20"/>
        <v>No</v>
      </c>
      <c r="Z56" s="49" t="s">
        <v>35</v>
      </c>
      <c r="AA56" s="49" t="s">
        <v>23</v>
      </c>
      <c r="AB56" s="49" t="s">
        <v>23</v>
      </c>
      <c r="AC56" s="46" t="s">
        <v>26</v>
      </c>
      <c r="AD56" s="46" t="s">
        <v>27</v>
      </c>
      <c r="AE56" s="46" t="s">
        <v>89</v>
      </c>
      <c r="AF56" s="46" t="s">
        <v>29</v>
      </c>
      <c r="AG56" s="103"/>
      <c r="AH56" s="52">
        <v>5170</v>
      </c>
      <c r="AI56" s="52">
        <v>5170</v>
      </c>
      <c r="AJ56" s="102">
        <v>57.45</v>
      </c>
      <c r="AK56" s="104">
        <v>114.9</v>
      </c>
      <c r="AL56" s="102">
        <v>57.45</v>
      </c>
      <c r="AM56" s="102"/>
      <c r="AN56" s="53">
        <f t="shared" si="21"/>
        <v>114.9</v>
      </c>
      <c r="AO56" s="53">
        <v>34.35</v>
      </c>
      <c r="AP56" s="102"/>
      <c r="AQ56" s="102"/>
      <c r="AR56" s="50"/>
      <c r="AS56" s="50"/>
      <c r="AT56" s="102"/>
      <c r="AU56" s="102"/>
      <c r="AV56" s="50"/>
      <c r="AW56" s="50"/>
      <c r="AX56" s="50"/>
      <c r="AY56" s="50"/>
      <c r="AZ56" s="102"/>
      <c r="BA56" s="102"/>
      <c r="BB56" s="102"/>
      <c r="BC56" s="102"/>
      <c r="BD56" s="50"/>
      <c r="BE56" s="50"/>
      <c r="BF56" s="50"/>
      <c r="BG56" s="50"/>
      <c r="BH56" s="102"/>
      <c r="BI56" s="102"/>
      <c r="BJ56" s="50"/>
      <c r="BK56" s="50"/>
      <c r="BL56" s="50"/>
      <c r="BM56" s="50"/>
      <c r="BN56" s="102"/>
      <c r="BO56" s="50"/>
      <c r="BP56" s="50"/>
      <c r="BQ56" s="50"/>
      <c r="BR56" s="102"/>
      <c r="BS56" s="54" t="s">
        <v>23</v>
      </c>
      <c r="BT56" s="45" t="str">
        <f t="shared" si="22"/>
        <v>Yes</v>
      </c>
      <c r="BU56" s="45" t="str">
        <f t="shared" si="23"/>
        <v>No</v>
      </c>
      <c r="BV56" s="45" t="str">
        <f t="shared" si="24"/>
        <v>No</v>
      </c>
      <c r="BW56" s="55">
        <v>92.6830347268303</v>
      </c>
      <c r="BX56" s="55"/>
      <c r="BY56" s="55">
        <v>93.913034726830347</v>
      </c>
      <c r="BZ56" s="55"/>
      <c r="CA56" s="45">
        <v>2004</v>
      </c>
      <c r="CB56" s="55">
        <f t="shared" si="25"/>
        <v>58.729978416448937</v>
      </c>
      <c r="CC56" s="46" t="s">
        <v>951</v>
      </c>
      <c r="CD56" s="46" t="s">
        <v>952</v>
      </c>
      <c r="CE56" s="46" t="s">
        <v>950</v>
      </c>
      <c r="CF56" s="46">
        <v>2</v>
      </c>
      <c r="CG56" s="46" t="str">
        <f t="shared" si="26"/>
        <v>No</v>
      </c>
      <c r="CH56" s="46" t="s">
        <v>29</v>
      </c>
      <c r="CI56" s="56">
        <v>0</v>
      </c>
      <c r="CJ56" s="46">
        <v>20</v>
      </c>
      <c r="CK56" s="46" t="s">
        <v>23</v>
      </c>
      <c r="CL56" s="49" t="s">
        <v>29</v>
      </c>
      <c r="CM56" s="50">
        <v>0</v>
      </c>
      <c r="CN56" s="50"/>
      <c r="CO56" s="50"/>
      <c r="CP56" s="46" t="s">
        <v>23</v>
      </c>
      <c r="CQ56" s="46" t="s">
        <v>24</v>
      </c>
      <c r="CR56" s="46">
        <v>9</v>
      </c>
      <c r="CS56" s="46" t="s">
        <v>854</v>
      </c>
      <c r="CT56" s="46" t="s">
        <v>856</v>
      </c>
      <c r="CU56" s="46" t="s">
        <v>74</v>
      </c>
      <c r="CV56" s="46">
        <v>2</v>
      </c>
      <c r="CW56" s="46" t="s">
        <v>23</v>
      </c>
      <c r="CX56" s="49" t="s">
        <v>743</v>
      </c>
      <c r="CY56" s="49" t="s">
        <v>36</v>
      </c>
      <c r="CZ56" s="49">
        <v>0</v>
      </c>
      <c r="DA56" s="49">
        <v>1</v>
      </c>
      <c r="DB56" s="64">
        <v>8803</v>
      </c>
      <c r="DC56" s="58">
        <v>41.04</v>
      </c>
      <c r="DD56" s="58">
        <v>37.090000000000003</v>
      </c>
      <c r="DE56" s="58">
        <v>7.7</v>
      </c>
      <c r="DF56" s="58">
        <v>8.32</v>
      </c>
      <c r="DG56" s="58">
        <v>7.9859138929910252</v>
      </c>
      <c r="DH56" s="58">
        <v>58.96</v>
      </c>
      <c r="DI56" s="45" t="s">
        <v>35</v>
      </c>
      <c r="DJ56" s="59" t="str">
        <f t="shared" si="27"/>
        <v>No single majority group</v>
      </c>
      <c r="DK56" s="65">
        <v>8803</v>
      </c>
      <c r="DL56" s="58">
        <v>41.04</v>
      </c>
      <c r="DM56" s="58">
        <v>37.090000000000003</v>
      </c>
      <c r="DN56" s="58">
        <v>7.7</v>
      </c>
      <c r="DO56" s="58">
        <v>58.96</v>
      </c>
      <c r="DP56" s="66">
        <v>50.9</v>
      </c>
      <c r="DQ56" s="67">
        <v>61156.800000000003</v>
      </c>
      <c r="DR56" s="53">
        <v>20</v>
      </c>
      <c r="DS56" s="58">
        <v>73.8</v>
      </c>
      <c r="DT56" s="53">
        <v>42.7</v>
      </c>
      <c r="DU56" s="55">
        <v>2.16</v>
      </c>
      <c r="DV56" s="50">
        <v>32.5</v>
      </c>
      <c r="DW56" s="53">
        <v>92.2</v>
      </c>
      <c r="DX56" s="53">
        <v>79.101399999999998</v>
      </c>
      <c r="DY56" s="53">
        <v>47.097700000000003</v>
      </c>
      <c r="DZ56" s="63"/>
    </row>
    <row r="57" spans="1:130" s="5" customFormat="1" ht="14.25" hidden="1" customHeight="1">
      <c r="A57" s="45">
        <v>1070</v>
      </c>
      <c r="B57" s="47" t="s">
        <v>69</v>
      </c>
      <c r="C57" s="47">
        <v>2004</v>
      </c>
      <c r="D57" s="47" t="s">
        <v>97</v>
      </c>
      <c r="E57" s="46" t="s">
        <v>98</v>
      </c>
      <c r="F57" s="46">
        <v>4</v>
      </c>
      <c r="G57" s="48">
        <v>30000</v>
      </c>
      <c r="H57" s="46" t="s">
        <v>332</v>
      </c>
      <c r="I57" s="46">
        <v>1</v>
      </c>
      <c r="J57" s="46">
        <v>3</v>
      </c>
      <c r="K57" s="49" t="s">
        <v>99</v>
      </c>
      <c r="L57" s="49" t="s">
        <v>30</v>
      </c>
      <c r="M57" s="49" t="s">
        <v>29</v>
      </c>
      <c r="N57" s="49" t="s">
        <v>512</v>
      </c>
      <c r="O57" s="49"/>
      <c r="P57" s="49" t="s">
        <v>31</v>
      </c>
      <c r="Q57" s="49" t="s">
        <v>29</v>
      </c>
      <c r="R57" s="49">
        <v>1</v>
      </c>
      <c r="S57" s="50">
        <f t="shared" si="17"/>
        <v>33.333333333333329</v>
      </c>
      <c r="T57" s="49">
        <v>0</v>
      </c>
      <c r="U57" s="50">
        <f t="shared" si="18"/>
        <v>0</v>
      </c>
      <c r="V57" s="45"/>
      <c r="W57" s="49">
        <v>0</v>
      </c>
      <c r="X57" s="50">
        <f t="shared" si="19"/>
        <v>0</v>
      </c>
      <c r="Y57" s="51" t="str">
        <f t="shared" si="20"/>
        <v>No</v>
      </c>
      <c r="Z57" s="49" t="s">
        <v>35</v>
      </c>
      <c r="AA57" s="49" t="s">
        <v>23</v>
      </c>
      <c r="AB57" s="49" t="s">
        <v>23</v>
      </c>
      <c r="AC57" s="46" t="s">
        <v>26</v>
      </c>
      <c r="AD57" s="46" t="s">
        <v>27</v>
      </c>
      <c r="AE57" s="46" t="s">
        <v>89</v>
      </c>
      <c r="AF57" s="46" t="s">
        <v>29</v>
      </c>
      <c r="AG57" s="103"/>
      <c r="AH57" s="52">
        <v>7751</v>
      </c>
      <c r="AI57" s="52">
        <v>7751</v>
      </c>
      <c r="AJ57" s="102">
        <v>57.82</v>
      </c>
      <c r="AK57" s="104">
        <v>115.64</v>
      </c>
      <c r="AL57" s="102">
        <v>57.82</v>
      </c>
      <c r="AM57" s="102"/>
      <c r="AN57" s="53">
        <f t="shared" si="21"/>
        <v>115.64</v>
      </c>
      <c r="AO57" s="53">
        <v>26.2</v>
      </c>
      <c r="AP57" s="102"/>
      <c r="AQ57" s="102"/>
      <c r="AR57" s="50"/>
      <c r="AS57" s="50"/>
      <c r="AT57" s="102"/>
      <c r="AU57" s="102"/>
      <c r="AV57" s="50"/>
      <c r="AW57" s="50"/>
      <c r="AX57" s="50"/>
      <c r="AY57" s="50"/>
      <c r="AZ57" s="102"/>
      <c r="BA57" s="102"/>
      <c r="BB57" s="102"/>
      <c r="BC57" s="102"/>
      <c r="BD57" s="50"/>
      <c r="BE57" s="50"/>
      <c r="BF57" s="50"/>
      <c r="BG57" s="50"/>
      <c r="BH57" s="102"/>
      <c r="BI57" s="102"/>
      <c r="BJ57" s="50"/>
      <c r="BK57" s="50"/>
      <c r="BL57" s="50"/>
      <c r="BM57" s="50"/>
      <c r="BN57" s="102"/>
      <c r="BO57" s="50"/>
      <c r="BP57" s="50"/>
      <c r="BQ57" s="50"/>
      <c r="BR57" s="102"/>
      <c r="BS57" s="54" t="s">
        <v>23</v>
      </c>
      <c r="BT57" s="45" t="str">
        <f t="shared" si="22"/>
        <v>No</v>
      </c>
      <c r="BU57" s="45" t="str">
        <f t="shared" si="23"/>
        <v>No</v>
      </c>
      <c r="BV57" s="45" t="str">
        <f t="shared" si="24"/>
        <v>No</v>
      </c>
      <c r="BW57" s="55">
        <v>92.6830347268303</v>
      </c>
      <c r="BX57" s="55"/>
      <c r="BY57" s="55">
        <v>93.913034726830347</v>
      </c>
      <c r="BZ57" s="55"/>
      <c r="CA57" s="45">
        <v>2004</v>
      </c>
      <c r="CB57" s="55">
        <f t="shared" si="25"/>
        <v>77.25505830758496</v>
      </c>
      <c r="CC57" s="46" t="s">
        <v>951</v>
      </c>
      <c r="CD57" s="46" t="s">
        <v>952</v>
      </c>
      <c r="CE57" s="46" t="s">
        <v>950</v>
      </c>
      <c r="CF57" s="46">
        <v>2</v>
      </c>
      <c r="CG57" s="46" t="str">
        <f t="shared" si="26"/>
        <v>No</v>
      </c>
      <c r="CH57" s="46" t="s">
        <v>29</v>
      </c>
      <c r="CI57" s="56">
        <v>0</v>
      </c>
      <c r="CJ57" s="46">
        <v>20</v>
      </c>
      <c r="CK57" s="46" t="s">
        <v>23</v>
      </c>
      <c r="CL57" s="49" t="s">
        <v>29</v>
      </c>
      <c r="CM57" s="50">
        <v>0</v>
      </c>
      <c r="CN57" s="50"/>
      <c r="CO57" s="50"/>
      <c r="CP57" s="46" t="s">
        <v>23</v>
      </c>
      <c r="CQ57" s="46" t="s">
        <v>24</v>
      </c>
      <c r="CR57" s="46">
        <v>9</v>
      </c>
      <c r="CS57" s="46" t="s">
        <v>854</v>
      </c>
      <c r="CT57" s="46" t="s">
        <v>856</v>
      </c>
      <c r="CU57" s="46" t="s">
        <v>74</v>
      </c>
      <c r="CV57" s="46">
        <v>2</v>
      </c>
      <c r="CW57" s="46" t="s">
        <v>23</v>
      </c>
      <c r="CX57" s="49" t="s">
        <v>743</v>
      </c>
      <c r="CY57" s="49" t="s">
        <v>36</v>
      </c>
      <c r="CZ57" s="49">
        <v>0</v>
      </c>
      <c r="DA57" s="49">
        <v>1</v>
      </c>
      <c r="DB57" s="64">
        <v>10033</v>
      </c>
      <c r="DC57" s="58">
        <v>79.47</v>
      </c>
      <c r="DD57" s="58">
        <v>2.62</v>
      </c>
      <c r="DE57" s="58">
        <v>4.21</v>
      </c>
      <c r="DF57" s="58">
        <v>10.42</v>
      </c>
      <c r="DG57" s="58">
        <v>5.1529951161168146</v>
      </c>
      <c r="DH57" s="58">
        <v>20.530000000000005</v>
      </c>
      <c r="DI57" s="45" t="s">
        <v>29</v>
      </c>
      <c r="DJ57" s="59" t="str">
        <f t="shared" si="27"/>
        <v>N/A</v>
      </c>
      <c r="DK57" s="65">
        <v>10033</v>
      </c>
      <c r="DL57" s="58">
        <v>79.47</v>
      </c>
      <c r="DM57" s="58">
        <v>2.62</v>
      </c>
      <c r="DN57" s="58">
        <v>4.21</v>
      </c>
      <c r="DO57" s="58">
        <v>20.530000000000005</v>
      </c>
      <c r="DP57" s="66">
        <v>50.9</v>
      </c>
      <c r="DQ57" s="67">
        <v>61156.800000000003</v>
      </c>
      <c r="DR57" s="53">
        <v>20</v>
      </c>
      <c r="DS57" s="58">
        <v>73.8</v>
      </c>
      <c r="DT57" s="53">
        <v>42.7</v>
      </c>
      <c r="DU57" s="55">
        <v>2.16</v>
      </c>
      <c r="DV57" s="50">
        <v>32.5</v>
      </c>
      <c r="DW57" s="53">
        <v>92.2</v>
      </c>
      <c r="DX57" s="53">
        <v>79.101399999999998</v>
      </c>
      <c r="DY57" s="53">
        <v>47.097700000000003</v>
      </c>
      <c r="DZ57" s="63"/>
    </row>
    <row r="58" spans="1:130" s="5" customFormat="1" ht="14.25" hidden="1" customHeight="1">
      <c r="A58" s="45">
        <v>1071</v>
      </c>
      <c r="B58" s="47" t="s">
        <v>69</v>
      </c>
      <c r="C58" s="47">
        <v>2004</v>
      </c>
      <c r="D58" s="47" t="s">
        <v>100</v>
      </c>
      <c r="E58" s="46" t="s">
        <v>101</v>
      </c>
      <c r="F58" s="46">
        <v>4</v>
      </c>
      <c r="G58" s="48">
        <v>30000</v>
      </c>
      <c r="H58" s="46" t="s">
        <v>332</v>
      </c>
      <c r="I58" s="46">
        <v>1</v>
      </c>
      <c r="J58" s="46">
        <v>2</v>
      </c>
      <c r="K58" s="49" t="s">
        <v>106</v>
      </c>
      <c r="L58" s="49" t="s">
        <v>40</v>
      </c>
      <c r="M58" s="49" t="s">
        <v>35</v>
      </c>
      <c r="N58" s="49" t="s">
        <v>513</v>
      </c>
      <c r="O58" s="49"/>
      <c r="P58" s="49" t="s">
        <v>31</v>
      </c>
      <c r="Q58" s="49" t="s">
        <v>29</v>
      </c>
      <c r="R58" s="49">
        <v>2</v>
      </c>
      <c r="S58" s="50">
        <f t="shared" si="17"/>
        <v>100</v>
      </c>
      <c r="T58" s="49">
        <v>0</v>
      </c>
      <c r="U58" s="50">
        <f t="shared" si="18"/>
        <v>0</v>
      </c>
      <c r="V58" s="45"/>
      <c r="W58" s="49">
        <v>0</v>
      </c>
      <c r="X58" s="50">
        <f t="shared" si="19"/>
        <v>0</v>
      </c>
      <c r="Y58" s="51" t="str">
        <f t="shared" si="20"/>
        <v>No</v>
      </c>
      <c r="Z58" s="49" t="s">
        <v>29</v>
      </c>
      <c r="AA58" s="49" t="s">
        <v>29</v>
      </c>
      <c r="AB58" s="45" t="s">
        <v>35</v>
      </c>
      <c r="AC58" s="46" t="s">
        <v>26</v>
      </c>
      <c r="AD58" s="46" t="s">
        <v>27</v>
      </c>
      <c r="AE58" s="46" t="s">
        <v>89</v>
      </c>
      <c r="AF58" s="46" t="s">
        <v>29</v>
      </c>
      <c r="AG58" s="103"/>
      <c r="AH58" s="52">
        <v>7261</v>
      </c>
      <c r="AI58" s="52">
        <v>7261</v>
      </c>
      <c r="AJ58" s="102">
        <v>79.7</v>
      </c>
      <c r="AK58" s="104">
        <v>159.4</v>
      </c>
      <c r="AL58" s="102">
        <v>79.7</v>
      </c>
      <c r="AM58" s="102"/>
      <c r="AN58" s="53">
        <f t="shared" si="21"/>
        <v>159.4</v>
      </c>
      <c r="AO58" s="53">
        <v>18.37</v>
      </c>
      <c r="AP58" s="102"/>
      <c r="AQ58" s="102"/>
      <c r="AR58" s="102"/>
      <c r="AS58" s="102"/>
      <c r="AT58" s="102"/>
      <c r="AU58" s="102"/>
      <c r="AV58" s="50"/>
      <c r="AW58" s="50"/>
      <c r="AX58" s="102"/>
      <c r="AY58" s="102"/>
      <c r="AZ58" s="102"/>
      <c r="BA58" s="102"/>
      <c r="BB58" s="102"/>
      <c r="BC58" s="102"/>
      <c r="BD58" s="102"/>
      <c r="BE58" s="102"/>
      <c r="BF58" s="102"/>
      <c r="BG58" s="102"/>
      <c r="BH58" s="102"/>
      <c r="BI58" s="102"/>
      <c r="BJ58" s="50"/>
      <c r="BK58" s="50"/>
      <c r="BL58" s="50"/>
      <c r="BM58" s="50"/>
      <c r="BN58" s="102"/>
      <c r="BO58" s="102"/>
      <c r="BP58" s="102"/>
      <c r="BQ58" s="102"/>
      <c r="BR58" s="102"/>
      <c r="BS58" s="54" t="s">
        <v>23</v>
      </c>
      <c r="BT58" s="45" t="str">
        <f t="shared" si="22"/>
        <v>No</v>
      </c>
      <c r="BU58" s="45" t="str">
        <f t="shared" si="23"/>
        <v>No</v>
      </c>
      <c r="BV58" s="45" t="str">
        <f t="shared" si="24"/>
        <v>No</v>
      </c>
      <c r="BW58" s="55">
        <v>92.6830347268303</v>
      </c>
      <c r="BX58" s="55"/>
      <c r="BY58" s="55">
        <v>93.913034726830347</v>
      </c>
      <c r="BZ58" s="55"/>
      <c r="CA58" s="45">
        <v>2004</v>
      </c>
      <c r="CB58" s="55">
        <f t="shared" si="25"/>
        <v>70.839024390243893</v>
      </c>
      <c r="CC58" s="46" t="s">
        <v>951</v>
      </c>
      <c r="CD58" s="46" t="s">
        <v>952</v>
      </c>
      <c r="CE58" s="46" t="s">
        <v>950</v>
      </c>
      <c r="CF58" s="46">
        <v>2</v>
      </c>
      <c r="CG58" s="46" t="str">
        <f t="shared" si="26"/>
        <v>No</v>
      </c>
      <c r="CH58" s="46" t="s">
        <v>29</v>
      </c>
      <c r="CI58" s="56">
        <v>0</v>
      </c>
      <c r="CJ58" s="46">
        <v>20</v>
      </c>
      <c r="CK58" s="46" t="s">
        <v>23</v>
      </c>
      <c r="CL58" s="49" t="s">
        <v>29</v>
      </c>
      <c r="CM58" s="50">
        <v>0</v>
      </c>
      <c r="CN58" s="50"/>
      <c r="CO58" s="50"/>
      <c r="CP58" s="46" t="s">
        <v>23</v>
      </c>
      <c r="CQ58" s="46" t="s">
        <v>24</v>
      </c>
      <c r="CR58" s="46">
        <v>9</v>
      </c>
      <c r="CS58" s="46" t="s">
        <v>854</v>
      </c>
      <c r="CT58" s="46" t="s">
        <v>856</v>
      </c>
      <c r="CU58" s="46" t="s">
        <v>74</v>
      </c>
      <c r="CV58" s="46">
        <v>2</v>
      </c>
      <c r="CW58" s="46" t="s">
        <v>23</v>
      </c>
      <c r="CX58" s="49" t="s">
        <v>743</v>
      </c>
      <c r="CY58" s="49" t="s">
        <v>36</v>
      </c>
      <c r="CZ58" s="49">
        <v>0</v>
      </c>
      <c r="DA58" s="49">
        <v>1</v>
      </c>
      <c r="DB58" s="64">
        <v>10250</v>
      </c>
      <c r="DC58" s="58">
        <v>78.83</v>
      </c>
      <c r="DD58" s="58">
        <v>1.6099999999999999</v>
      </c>
      <c r="DE58" s="58">
        <v>4.29</v>
      </c>
      <c r="DF58" s="58">
        <v>11.37</v>
      </c>
      <c r="DG58" s="58">
        <v>5.1414634146341465</v>
      </c>
      <c r="DH58" s="58">
        <v>21.17</v>
      </c>
      <c r="DI58" s="45" t="s">
        <v>29</v>
      </c>
      <c r="DJ58" s="59" t="str">
        <f t="shared" si="27"/>
        <v>N/A</v>
      </c>
      <c r="DK58" s="65">
        <v>10250</v>
      </c>
      <c r="DL58" s="58">
        <v>78.83</v>
      </c>
      <c r="DM58" s="58">
        <v>1.6099999999999999</v>
      </c>
      <c r="DN58" s="58">
        <v>4.29</v>
      </c>
      <c r="DO58" s="58">
        <v>21.17</v>
      </c>
      <c r="DP58" s="66">
        <v>50.9</v>
      </c>
      <c r="DQ58" s="67">
        <v>61156.800000000003</v>
      </c>
      <c r="DR58" s="53">
        <v>20</v>
      </c>
      <c r="DS58" s="58">
        <v>73.8</v>
      </c>
      <c r="DT58" s="53">
        <v>42.7</v>
      </c>
      <c r="DU58" s="55">
        <v>2.16</v>
      </c>
      <c r="DV58" s="50">
        <v>32.5</v>
      </c>
      <c r="DW58" s="53">
        <v>92.2</v>
      </c>
      <c r="DX58" s="53">
        <v>79.101399999999998</v>
      </c>
      <c r="DY58" s="53">
        <v>47.097700000000003</v>
      </c>
      <c r="DZ58" s="63"/>
    </row>
    <row r="59" spans="1:130" s="5" customFormat="1" ht="14.25" hidden="1" customHeight="1">
      <c r="A59" s="45">
        <v>1063</v>
      </c>
      <c r="B59" s="47" t="s">
        <v>69</v>
      </c>
      <c r="C59" s="47">
        <v>2006</v>
      </c>
      <c r="D59" s="47" t="s">
        <v>70</v>
      </c>
      <c r="E59" s="46" t="s">
        <v>22</v>
      </c>
      <c r="F59" s="46">
        <v>4</v>
      </c>
      <c r="G59" s="48">
        <v>146992</v>
      </c>
      <c r="H59" s="46" t="s">
        <v>249</v>
      </c>
      <c r="I59" s="46">
        <v>1</v>
      </c>
      <c r="J59" s="46">
        <v>1</v>
      </c>
      <c r="K59" s="49" t="s">
        <v>75</v>
      </c>
      <c r="L59" s="49" t="s">
        <v>40</v>
      </c>
      <c r="M59" s="49" t="s">
        <v>35</v>
      </c>
      <c r="N59" s="49" t="s">
        <v>513</v>
      </c>
      <c r="O59" s="49"/>
      <c r="P59" s="49" t="s">
        <v>31</v>
      </c>
      <c r="Q59" s="49" t="s">
        <v>29</v>
      </c>
      <c r="R59" s="49">
        <v>1</v>
      </c>
      <c r="S59" s="50">
        <f t="shared" si="17"/>
        <v>100</v>
      </c>
      <c r="T59" s="49">
        <v>0</v>
      </c>
      <c r="U59" s="50">
        <f t="shared" si="18"/>
        <v>0</v>
      </c>
      <c r="V59" s="45"/>
      <c r="W59" s="49">
        <v>0</v>
      </c>
      <c r="X59" s="50">
        <f t="shared" si="19"/>
        <v>0</v>
      </c>
      <c r="Y59" s="51" t="str">
        <f t="shared" si="20"/>
        <v>No</v>
      </c>
      <c r="Z59" s="49" t="s">
        <v>29</v>
      </c>
      <c r="AA59" s="49" t="s">
        <v>29</v>
      </c>
      <c r="AB59" s="45" t="s">
        <v>35</v>
      </c>
      <c r="AC59" s="46" t="s">
        <v>26</v>
      </c>
      <c r="AD59" s="46" t="s">
        <v>27</v>
      </c>
      <c r="AE59" s="46" t="s">
        <v>73</v>
      </c>
      <c r="AF59" s="46" t="s">
        <v>29</v>
      </c>
      <c r="AG59" s="103"/>
      <c r="AH59" s="52">
        <v>26712</v>
      </c>
      <c r="AI59" s="52">
        <v>26712</v>
      </c>
      <c r="AJ59" s="102">
        <v>98.6</v>
      </c>
      <c r="AK59" s="104">
        <v>197.2</v>
      </c>
      <c r="AL59" s="102">
        <v>98.6</v>
      </c>
      <c r="AM59" s="102"/>
      <c r="AN59" s="53">
        <f t="shared" si="21"/>
        <v>197.2</v>
      </c>
      <c r="AO59" s="53" t="s">
        <v>23</v>
      </c>
      <c r="AP59" s="102"/>
      <c r="AQ59" s="102"/>
      <c r="AR59" s="50"/>
      <c r="AS59" s="50"/>
      <c r="AT59" s="102"/>
      <c r="AU59" s="102"/>
      <c r="AV59" s="50"/>
      <c r="AW59" s="50"/>
      <c r="AX59" s="50"/>
      <c r="AY59" s="50"/>
      <c r="AZ59" s="102"/>
      <c r="BA59" s="102"/>
      <c r="BB59" s="102"/>
      <c r="BC59" s="102"/>
      <c r="BD59" s="50"/>
      <c r="BE59" s="50"/>
      <c r="BF59" s="50"/>
      <c r="BG59" s="50"/>
      <c r="BH59" s="102"/>
      <c r="BI59" s="102"/>
      <c r="BJ59" s="50"/>
      <c r="BK59" s="50"/>
      <c r="BL59" s="50"/>
      <c r="BM59" s="50"/>
      <c r="BN59" s="102"/>
      <c r="BO59" s="50"/>
      <c r="BP59" s="50"/>
      <c r="BQ59" s="50"/>
      <c r="BR59" s="102"/>
      <c r="BS59" s="54" t="s">
        <v>23</v>
      </c>
      <c r="BT59" s="45" t="str">
        <f t="shared" si="22"/>
        <v>No</v>
      </c>
      <c r="BU59" s="45" t="str">
        <f t="shared" si="23"/>
        <v>No</v>
      </c>
      <c r="BV59" s="45" t="str">
        <f t="shared" si="24"/>
        <v>No</v>
      </c>
      <c r="BW59" s="55">
        <v>92.6830347268303</v>
      </c>
      <c r="BX59" s="55">
        <v>92.6830347268303</v>
      </c>
      <c r="BY59" s="55">
        <v>93.913034726830347</v>
      </c>
      <c r="BZ59" s="55">
        <f>BX59-(-0.0246*100/2)</f>
        <v>93.913034726830304</v>
      </c>
      <c r="CA59" s="45">
        <v>2004</v>
      </c>
      <c r="CB59" s="55">
        <f t="shared" si="25"/>
        <v>34.518317503392133</v>
      </c>
      <c r="CC59" s="46" t="s">
        <v>951</v>
      </c>
      <c r="CD59" s="46" t="s">
        <v>952</v>
      </c>
      <c r="CE59" s="46" t="s">
        <v>950</v>
      </c>
      <c r="CF59" s="46">
        <v>2</v>
      </c>
      <c r="CG59" s="46" t="str">
        <f t="shared" si="26"/>
        <v>No</v>
      </c>
      <c r="CH59" s="46" t="s">
        <v>29</v>
      </c>
      <c r="CI59" s="56">
        <v>150</v>
      </c>
      <c r="CJ59" s="46">
        <v>20</v>
      </c>
      <c r="CK59" s="46">
        <v>150</v>
      </c>
      <c r="CL59" s="49" t="s">
        <v>29</v>
      </c>
      <c r="CM59" s="50">
        <v>0</v>
      </c>
      <c r="CN59" s="50"/>
      <c r="CO59" s="50"/>
      <c r="CP59" s="46" t="s">
        <v>23</v>
      </c>
      <c r="CQ59" s="46" t="s">
        <v>23</v>
      </c>
      <c r="CR59" s="46">
        <v>9</v>
      </c>
      <c r="CS59" s="46" t="s">
        <v>854</v>
      </c>
      <c r="CT59" s="46" t="s">
        <v>53</v>
      </c>
      <c r="CU59" s="46" t="s">
        <v>74</v>
      </c>
      <c r="CV59" s="46">
        <v>1</v>
      </c>
      <c r="CW59" s="46" t="s">
        <v>23</v>
      </c>
      <c r="CX59" s="49" t="s">
        <v>744</v>
      </c>
      <c r="CY59" s="49" t="s">
        <v>36</v>
      </c>
      <c r="CZ59" s="49">
        <v>0</v>
      </c>
      <c r="DA59" s="49">
        <v>1</v>
      </c>
      <c r="DB59" s="64">
        <v>77385</v>
      </c>
      <c r="DC59" s="58">
        <v>62.980000000000004</v>
      </c>
      <c r="DD59" s="58">
        <v>9.9</v>
      </c>
      <c r="DE59" s="58">
        <v>8.23</v>
      </c>
      <c r="DF59" s="58">
        <v>15.53</v>
      </c>
      <c r="DG59" s="58">
        <v>3.3599999999999963</v>
      </c>
      <c r="DH59" s="58">
        <v>37.019999999999996</v>
      </c>
      <c r="DI59" s="45" t="s">
        <v>29</v>
      </c>
      <c r="DJ59" s="59" t="str">
        <f t="shared" si="27"/>
        <v>N/A</v>
      </c>
      <c r="DK59" s="65">
        <v>77385</v>
      </c>
      <c r="DL59" s="58">
        <v>62.980000000000004</v>
      </c>
      <c r="DM59" s="58">
        <v>9.9</v>
      </c>
      <c r="DN59" s="58">
        <v>8.23</v>
      </c>
      <c r="DO59" s="58">
        <v>37.019999999999996</v>
      </c>
      <c r="DP59" s="66">
        <v>51.35</v>
      </c>
      <c r="DQ59" s="67">
        <v>65212</v>
      </c>
      <c r="DR59" s="53">
        <v>18.5</v>
      </c>
      <c r="DS59" s="58">
        <v>69.7</v>
      </c>
      <c r="DT59" s="53">
        <v>0.44900000000000001</v>
      </c>
      <c r="DU59" s="55">
        <v>2.2200000000000002</v>
      </c>
      <c r="DV59" s="50">
        <v>33.6</v>
      </c>
      <c r="DW59" s="53">
        <v>93.6</v>
      </c>
      <c r="DX59" s="53">
        <v>87.47</v>
      </c>
      <c r="DY59" s="53">
        <v>56.946899999999999</v>
      </c>
      <c r="DZ59" s="63"/>
    </row>
    <row r="60" spans="1:130" s="5" customFormat="1" ht="14.25" hidden="1" customHeight="1">
      <c r="A60" s="45">
        <v>1064</v>
      </c>
      <c r="B60" s="47" t="s">
        <v>69</v>
      </c>
      <c r="C60" s="47">
        <v>2006</v>
      </c>
      <c r="D60" s="47" t="s">
        <v>76</v>
      </c>
      <c r="E60" s="46" t="s">
        <v>77</v>
      </c>
      <c r="F60" s="46">
        <v>4</v>
      </c>
      <c r="G60" s="48">
        <v>30000</v>
      </c>
      <c r="H60" s="46" t="s">
        <v>332</v>
      </c>
      <c r="I60" s="46">
        <v>1</v>
      </c>
      <c r="J60" s="46">
        <v>2</v>
      </c>
      <c r="K60" s="49" t="s">
        <v>78</v>
      </c>
      <c r="L60" s="49" t="s">
        <v>40</v>
      </c>
      <c r="M60" s="49" t="s">
        <v>35</v>
      </c>
      <c r="N60" s="49" t="s">
        <v>513</v>
      </c>
      <c r="O60" s="49"/>
      <c r="P60" s="49" t="s">
        <v>31</v>
      </c>
      <c r="Q60" s="49" t="s">
        <v>29</v>
      </c>
      <c r="R60" s="49">
        <v>2</v>
      </c>
      <c r="S60" s="50">
        <f t="shared" si="17"/>
        <v>100</v>
      </c>
      <c r="T60" s="49">
        <v>0</v>
      </c>
      <c r="U60" s="50">
        <f t="shared" si="18"/>
        <v>0</v>
      </c>
      <c r="V60" s="45"/>
      <c r="W60" s="49">
        <v>0</v>
      </c>
      <c r="X60" s="50">
        <f t="shared" si="19"/>
        <v>0</v>
      </c>
      <c r="Y60" s="51" t="str">
        <f t="shared" si="20"/>
        <v>No</v>
      </c>
      <c r="Z60" s="49" t="s">
        <v>29</v>
      </c>
      <c r="AA60" s="49" t="s">
        <v>29</v>
      </c>
      <c r="AB60" s="45" t="s">
        <v>35</v>
      </c>
      <c r="AC60" s="46" t="s">
        <v>26</v>
      </c>
      <c r="AD60" s="46" t="s">
        <v>27</v>
      </c>
      <c r="AE60" s="46" t="s">
        <v>73</v>
      </c>
      <c r="AF60" s="46" t="s">
        <v>29</v>
      </c>
      <c r="AG60" s="103"/>
      <c r="AH60" s="52">
        <v>4915</v>
      </c>
      <c r="AI60" s="52">
        <v>4915</v>
      </c>
      <c r="AJ60" s="102">
        <v>76.22</v>
      </c>
      <c r="AK60" s="104">
        <v>152.44</v>
      </c>
      <c r="AL60" s="102">
        <v>76.22</v>
      </c>
      <c r="AM60" s="102"/>
      <c r="AN60" s="53">
        <f t="shared" si="21"/>
        <v>152.44</v>
      </c>
      <c r="AO60" s="53">
        <v>22.91</v>
      </c>
      <c r="AP60" s="102"/>
      <c r="AQ60" s="102"/>
      <c r="AR60" s="102"/>
      <c r="AS60" s="102"/>
      <c r="AT60" s="102"/>
      <c r="AU60" s="102"/>
      <c r="AV60" s="102"/>
      <c r="AW60" s="102"/>
      <c r="AX60" s="102"/>
      <c r="AY60" s="102"/>
      <c r="AZ60" s="102"/>
      <c r="BA60" s="102"/>
      <c r="BB60" s="102"/>
      <c r="BC60" s="102"/>
      <c r="BD60" s="102"/>
      <c r="BE60" s="102"/>
      <c r="BF60" s="102"/>
      <c r="BG60" s="102"/>
      <c r="BH60" s="102"/>
      <c r="BI60" s="102"/>
      <c r="BJ60" s="102"/>
      <c r="BK60" s="102"/>
      <c r="BL60" s="102"/>
      <c r="BM60" s="102"/>
      <c r="BN60" s="102"/>
      <c r="BO60" s="102"/>
      <c r="BP60" s="102"/>
      <c r="BQ60" s="102"/>
      <c r="BR60" s="102"/>
      <c r="BS60" s="54" t="s">
        <v>23</v>
      </c>
      <c r="BT60" s="45" t="str">
        <f t="shared" si="22"/>
        <v>No</v>
      </c>
      <c r="BU60" s="45" t="str">
        <f t="shared" si="23"/>
        <v>No</v>
      </c>
      <c r="BV60" s="45" t="str">
        <f t="shared" si="24"/>
        <v>No</v>
      </c>
      <c r="BW60" s="55">
        <v>92.6830347268303</v>
      </c>
      <c r="BX60" s="55"/>
      <c r="BY60" s="55">
        <v>93.913034726830347</v>
      </c>
      <c r="BZ60" s="55"/>
      <c r="CA60" s="45">
        <v>2004</v>
      </c>
      <c r="CB60" s="55">
        <f t="shared" si="25"/>
        <v>51.390631534922626</v>
      </c>
      <c r="CC60" s="46" t="s">
        <v>951</v>
      </c>
      <c r="CD60" s="46" t="s">
        <v>952</v>
      </c>
      <c r="CE60" s="46" t="s">
        <v>950</v>
      </c>
      <c r="CF60" s="46">
        <v>2</v>
      </c>
      <c r="CG60" s="46" t="str">
        <f t="shared" si="26"/>
        <v>No</v>
      </c>
      <c r="CH60" s="46" t="s">
        <v>29</v>
      </c>
      <c r="CI60" s="56">
        <v>150</v>
      </c>
      <c r="CJ60" s="46">
        <v>20</v>
      </c>
      <c r="CK60" s="46">
        <v>150</v>
      </c>
      <c r="CL60" s="49" t="s">
        <v>29</v>
      </c>
      <c r="CM60" s="50">
        <v>0</v>
      </c>
      <c r="CN60" s="50"/>
      <c r="CO60" s="50"/>
      <c r="CP60" s="46" t="s">
        <v>23</v>
      </c>
      <c r="CQ60" s="46" t="s">
        <v>24</v>
      </c>
      <c r="CR60" s="46">
        <v>9</v>
      </c>
      <c r="CS60" s="46" t="s">
        <v>854</v>
      </c>
      <c r="CT60" s="46" t="s">
        <v>856</v>
      </c>
      <c r="CU60" s="46" t="s">
        <v>74</v>
      </c>
      <c r="CV60" s="46">
        <v>1</v>
      </c>
      <c r="CW60" s="46" t="s">
        <v>23</v>
      </c>
      <c r="CX60" s="49" t="s">
        <v>744</v>
      </c>
      <c r="CY60" s="49" t="s">
        <v>36</v>
      </c>
      <c r="CZ60" s="49">
        <v>0</v>
      </c>
      <c r="DA60" s="49">
        <v>1</v>
      </c>
      <c r="DB60" s="64">
        <v>9564</v>
      </c>
      <c r="DC60" s="58">
        <v>62.59</v>
      </c>
      <c r="DD60" s="58">
        <v>10.65</v>
      </c>
      <c r="DE60" s="58">
        <v>10.94</v>
      </c>
      <c r="DF60" s="58">
        <v>13.36</v>
      </c>
      <c r="DG60" s="58">
        <v>2.2689251359263909</v>
      </c>
      <c r="DH60" s="58">
        <v>37.409999999999997</v>
      </c>
      <c r="DI60" s="45" t="s">
        <v>29</v>
      </c>
      <c r="DJ60" s="59" t="str">
        <f t="shared" si="27"/>
        <v>N/A</v>
      </c>
      <c r="DK60" s="65">
        <v>9564</v>
      </c>
      <c r="DL60" s="58">
        <v>62.59</v>
      </c>
      <c r="DM60" s="58">
        <v>10.65</v>
      </c>
      <c r="DN60" s="58">
        <v>10.94</v>
      </c>
      <c r="DO60" s="58">
        <v>37.409999999999997</v>
      </c>
      <c r="DP60" s="66">
        <v>51.35</v>
      </c>
      <c r="DQ60" s="67">
        <v>65212</v>
      </c>
      <c r="DR60" s="53">
        <v>18.5</v>
      </c>
      <c r="DS60" s="58">
        <v>69.7</v>
      </c>
      <c r="DT60" s="53">
        <v>44.9</v>
      </c>
      <c r="DU60" s="55">
        <v>2.2200000000000002</v>
      </c>
      <c r="DV60" s="50">
        <v>33.6</v>
      </c>
      <c r="DW60" s="53">
        <v>93.6</v>
      </c>
      <c r="DX60" s="53">
        <v>87.47</v>
      </c>
      <c r="DY60" s="53">
        <v>56.946899999999999</v>
      </c>
      <c r="DZ60" s="63"/>
    </row>
    <row r="61" spans="1:130" s="5" customFormat="1" ht="14.25" hidden="1" customHeight="1">
      <c r="A61" s="45">
        <v>1065</v>
      </c>
      <c r="B61" s="47" t="s">
        <v>69</v>
      </c>
      <c r="C61" s="47">
        <v>2006</v>
      </c>
      <c r="D61" s="47" t="s">
        <v>79</v>
      </c>
      <c r="E61" s="71" t="s">
        <v>80</v>
      </c>
      <c r="F61" s="46">
        <v>4</v>
      </c>
      <c r="G61" s="48">
        <v>30000</v>
      </c>
      <c r="H61" s="46" t="s">
        <v>332</v>
      </c>
      <c r="I61" s="46">
        <v>1</v>
      </c>
      <c r="J61" s="46">
        <v>2</v>
      </c>
      <c r="K61" s="49" t="s">
        <v>105</v>
      </c>
      <c r="L61" s="49" t="s">
        <v>40</v>
      </c>
      <c r="M61" s="49" t="s">
        <v>35</v>
      </c>
      <c r="N61" s="49" t="s">
        <v>513</v>
      </c>
      <c r="O61" s="49"/>
      <c r="P61" s="49" t="s">
        <v>31</v>
      </c>
      <c r="Q61" s="49" t="s">
        <v>29</v>
      </c>
      <c r="R61" s="49">
        <v>1</v>
      </c>
      <c r="S61" s="50">
        <f t="shared" si="17"/>
        <v>50</v>
      </c>
      <c r="T61" s="49">
        <v>0</v>
      </c>
      <c r="U61" s="50">
        <f t="shared" si="18"/>
        <v>0</v>
      </c>
      <c r="V61" s="45"/>
      <c r="W61" s="49">
        <v>0</v>
      </c>
      <c r="X61" s="50">
        <f t="shared" si="19"/>
        <v>0</v>
      </c>
      <c r="Y61" s="51" t="str">
        <f t="shared" si="20"/>
        <v>No</v>
      </c>
      <c r="Z61" s="49" t="s">
        <v>29</v>
      </c>
      <c r="AA61" s="49" t="s">
        <v>29</v>
      </c>
      <c r="AB61" s="45" t="s">
        <v>35</v>
      </c>
      <c r="AC61" s="46" t="s">
        <v>26</v>
      </c>
      <c r="AD61" s="46" t="s">
        <v>27</v>
      </c>
      <c r="AE61" s="46" t="s">
        <v>73</v>
      </c>
      <c r="AF61" s="46" t="s">
        <v>29</v>
      </c>
      <c r="AG61" s="103"/>
      <c r="AH61" s="52">
        <v>4392</v>
      </c>
      <c r="AI61" s="52">
        <v>4392</v>
      </c>
      <c r="AJ61" s="102">
        <v>71.2</v>
      </c>
      <c r="AK61" s="104">
        <v>142.4</v>
      </c>
      <c r="AL61" s="102">
        <v>71.2</v>
      </c>
      <c r="AM61" s="102"/>
      <c r="AN61" s="53">
        <f t="shared" si="21"/>
        <v>142.4</v>
      </c>
      <c r="AO61" s="53">
        <v>27.96</v>
      </c>
      <c r="AP61" s="102"/>
      <c r="AQ61" s="102"/>
      <c r="AR61" s="50"/>
      <c r="AS61" s="50"/>
      <c r="AT61" s="102"/>
      <c r="AU61" s="102"/>
      <c r="AV61" s="50"/>
      <c r="AW61" s="50"/>
      <c r="AX61" s="50"/>
      <c r="AY61" s="50"/>
      <c r="AZ61" s="102"/>
      <c r="BA61" s="102"/>
      <c r="BB61" s="102"/>
      <c r="BC61" s="102"/>
      <c r="BD61" s="50"/>
      <c r="BE61" s="50"/>
      <c r="BF61" s="50"/>
      <c r="BG61" s="50"/>
      <c r="BH61" s="102"/>
      <c r="BI61" s="102"/>
      <c r="BJ61" s="50"/>
      <c r="BK61" s="50"/>
      <c r="BL61" s="50"/>
      <c r="BM61" s="50"/>
      <c r="BN61" s="102"/>
      <c r="BO61" s="102"/>
      <c r="BP61" s="102"/>
      <c r="BQ61" s="102"/>
      <c r="BR61" s="102"/>
      <c r="BS61" s="54" t="s">
        <v>23</v>
      </c>
      <c r="BT61" s="45" t="str">
        <f t="shared" si="22"/>
        <v>No</v>
      </c>
      <c r="BU61" s="45" t="str">
        <f t="shared" si="23"/>
        <v>No</v>
      </c>
      <c r="BV61" s="45" t="str">
        <f t="shared" si="24"/>
        <v>No</v>
      </c>
      <c r="BW61" s="55">
        <v>92.6830347268303</v>
      </c>
      <c r="BX61" s="55"/>
      <c r="BY61" s="55">
        <v>93.913034726830347</v>
      </c>
      <c r="BZ61" s="55"/>
      <c r="CA61" s="45">
        <v>2004</v>
      </c>
      <c r="CB61" s="55">
        <f t="shared" si="25"/>
        <v>48.205465920316101</v>
      </c>
      <c r="CC61" s="46" t="s">
        <v>951</v>
      </c>
      <c r="CD61" s="46" t="s">
        <v>952</v>
      </c>
      <c r="CE61" s="46" t="s">
        <v>950</v>
      </c>
      <c r="CF61" s="46">
        <v>2</v>
      </c>
      <c r="CG61" s="46" t="str">
        <f t="shared" si="26"/>
        <v>No</v>
      </c>
      <c r="CH61" s="46" t="s">
        <v>29</v>
      </c>
      <c r="CI61" s="56">
        <v>150</v>
      </c>
      <c r="CJ61" s="46">
        <v>20</v>
      </c>
      <c r="CK61" s="46">
        <v>150</v>
      </c>
      <c r="CL61" s="49" t="s">
        <v>29</v>
      </c>
      <c r="CM61" s="50">
        <v>0</v>
      </c>
      <c r="CN61" s="50"/>
      <c r="CO61" s="50"/>
      <c r="CP61" s="46" t="s">
        <v>23</v>
      </c>
      <c r="CQ61" s="46" t="s">
        <v>24</v>
      </c>
      <c r="CR61" s="46">
        <v>9</v>
      </c>
      <c r="CS61" s="46" t="s">
        <v>854</v>
      </c>
      <c r="CT61" s="46" t="s">
        <v>856</v>
      </c>
      <c r="CU61" s="46" t="s">
        <v>74</v>
      </c>
      <c r="CV61" s="46">
        <v>2</v>
      </c>
      <c r="CW61" s="46" t="s">
        <v>23</v>
      </c>
      <c r="CX61" s="49" t="s">
        <v>744</v>
      </c>
      <c r="CY61" s="49" t="s">
        <v>36</v>
      </c>
      <c r="CZ61" s="49">
        <v>0</v>
      </c>
      <c r="DA61" s="49">
        <v>1</v>
      </c>
      <c r="DB61" s="64">
        <v>9111</v>
      </c>
      <c r="DC61" s="58">
        <v>61.750000000000007</v>
      </c>
      <c r="DD61" s="58">
        <v>6.5</v>
      </c>
      <c r="DE61" s="58">
        <v>5.91</v>
      </c>
      <c r="DF61" s="58">
        <v>22.470000000000002</v>
      </c>
      <c r="DG61" s="58">
        <v>3.3256503128086932</v>
      </c>
      <c r="DH61" s="58">
        <v>38.249999999999993</v>
      </c>
      <c r="DI61" s="45" t="s">
        <v>29</v>
      </c>
      <c r="DJ61" s="59" t="str">
        <f t="shared" si="27"/>
        <v>N/A</v>
      </c>
      <c r="DK61" s="65">
        <v>9111</v>
      </c>
      <c r="DL61" s="58">
        <v>61.750000000000007</v>
      </c>
      <c r="DM61" s="58">
        <v>6.5</v>
      </c>
      <c r="DN61" s="58">
        <v>5.91</v>
      </c>
      <c r="DO61" s="58">
        <v>38.249999999999993</v>
      </c>
      <c r="DP61" s="66">
        <v>51.35</v>
      </c>
      <c r="DQ61" s="67">
        <v>65212</v>
      </c>
      <c r="DR61" s="53">
        <v>18.5</v>
      </c>
      <c r="DS61" s="58">
        <v>69.7</v>
      </c>
      <c r="DT61" s="53">
        <v>44.9</v>
      </c>
      <c r="DU61" s="55">
        <v>2.2200000000000002</v>
      </c>
      <c r="DV61" s="50">
        <v>33.6</v>
      </c>
      <c r="DW61" s="53">
        <v>93.6</v>
      </c>
      <c r="DX61" s="53">
        <v>87.47</v>
      </c>
      <c r="DY61" s="53">
        <v>56.946899999999999</v>
      </c>
      <c r="DZ61" s="63"/>
    </row>
    <row r="62" spans="1:130" s="5" customFormat="1" ht="14.25" hidden="1" customHeight="1">
      <c r="A62" s="45">
        <v>1066</v>
      </c>
      <c r="B62" s="46" t="s">
        <v>69</v>
      </c>
      <c r="C62" s="47">
        <v>2006</v>
      </c>
      <c r="D62" s="47" t="s">
        <v>82</v>
      </c>
      <c r="E62" s="46" t="s">
        <v>83</v>
      </c>
      <c r="F62" s="46">
        <v>4</v>
      </c>
      <c r="G62" s="48">
        <v>30000</v>
      </c>
      <c r="H62" s="46" t="s">
        <v>332</v>
      </c>
      <c r="I62" s="46">
        <v>1</v>
      </c>
      <c r="J62" s="46">
        <v>2</v>
      </c>
      <c r="K62" s="49" t="s">
        <v>84</v>
      </c>
      <c r="L62" s="49" t="s">
        <v>30</v>
      </c>
      <c r="M62" s="49" t="s">
        <v>29</v>
      </c>
      <c r="N62" s="49" t="s">
        <v>513</v>
      </c>
      <c r="O62" s="49"/>
      <c r="P62" s="49" t="s">
        <v>31</v>
      </c>
      <c r="Q62" s="49" t="s">
        <v>29</v>
      </c>
      <c r="R62" s="49">
        <v>0</v>
      </c>
      <c r="S62" s="50">
        <f t="shared" si="17"/>
        <v>0</v>
      </c>
      <c r="T62" s="49">
        <v>0</v>
      </c>
      <c r="U62" s="50">
        <f t="shared" si="18"/>
        <v>0</v>
      </c>
      <c r="V62" s="45"/>
      <c r="W62" s="49">
        <v>0</v>
      </c>
      <c r="X62" s="50">
        <f t="shared" si="19"/>
        <v>0</v>
      </c>
      <c r="Y62" s="51" t="str">
        <f t="shared" si="20"/>
        <v>No</v>
      </c>
      <c r="Z62" s="49" t="s">
        <v>29</v>
      </c>
      <c r="AA62" s="49" t="s">
        <v>29</v>
      </c>
      <c r="AB62" s="49" t="s">
        <v>29</v>
      </c>
      <c r="AC62" s="46" t="s">
        <v>26</v>
      </c>
      <c r="AD62" s="46" t="s">
        <v>27</v>
      </c>
      <c r="AE62" s="46" t="s">
        <v>73</v>
      </c>
      <c r="AF62" s="46" t="s">
        <v>29</v>
      </c>
      <c r="AG62" s="103"/>
      <c r="AH62" s="52">
        <v>4009</v>
      </c>
      <c r="AI62" s="52">
        <v>4009</v>
      </c>
      <c r="AJ62" s="102">
        <v>52.86</v>
      </c>
      <c r="AK62" s="104">
        <v>105.72</v>
      </c>
      <c r="AL62" s="102">
        <v>52.86</v>
      </c>
      <c r="AM62" s="102"/>
      <c r="AN62" s="53">
        <f t="shared" si="21"/>
        <v>105.72</v>
      </c>
      <c r="AO62" s="53">
        <v>46.65</v>
      </c>
      <c r="AP62" s="102"/>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54" t="s">
        <v>23</v>
      </c>
      <c r="BT62" s="45" t="str">
        <f t="shared" si="22"/>
        <v>Yes</v>
      </c>
      <c r="BU62" s="45" t="str">
        <f t="shared" si="23"/>
        <v>Yes</v>
      </c>
      <c r="BV62" s="45" t="str">
        <f t="shared" si="24"/>
        <v>No</v>
      </c>
      <c r="BW62" s="55">
        <v>92.6830347268303</v>
      </c>
      <c r="BX62" s="55"/>
      <c r="BY62" s="55">
        <v>93.913034726830347</v>
      </c>
      <c r="BZ62" s="55"/>
      <c r="CA62" s="45">
        <v>2004</v>
      </c>
      <c r="CB62" s="55">
        <f t="shared" si="25"/>
        <v>38.050493545937734</v>
      </c>
      <c r="CC62" s="46" t="s">
        <v>951</v>
      </c>
      <c r="CD62" s="46" t="s">
        <v>952</v>
      </c>
      <c r="CE62" s="46" t="s">
        <v>950</v>
      </c>
      <c r="CF62" s="46">
        <v>2</v>
      </c>
      <c r="CG62" s="46" t="str">
        <f t="shared" si="26"/>
        <v>No</v>
      </c>
      <c r="CH62" s="46" t="s">
        <v>29</v>
      </c>
      <c r="CI62" s="56">
        <v>150</v>
      </c>
      <c r="CJ62" s="46">
        <v>20</v>
      </c>
      <c r="CK62" s="46">
        <v>150</v>
      </c>
      <c r="CL62" s="49" t="s">
        <v>29</v>
      </c>
      <c r="CM62" s="50">
        <v>0</v>
      </c>
      <c r="CN62" s="50"/>
      <c r="CO62" s="50"/>
      <c r="CP62" s="46" t="s">
        <v>23</v>
      </c>
      <c r="CQ62" s="46" t="s">
        <v>24</v>
      </c>
      <c r="CR62" s="46">
        <v>9</v>
      </c>
      <c r="CS62" s="46" t="s">
        <v>854</v>
      </c>
      <c r="CT62" s="46" t="s">
        <v>856</v>
      </c>
      <c r="CU62" s="46" t="s">
        <v>74</v>
      </c>
      <c r="CV62" s="46">
        <v>1</v>
      </c>
      <c r="CW62" s="46" t="s">
        <v>23</v>
      </c>
      <c r="CX62" s="49" t="s">
        <v>744</v>
      </c>
      <c r="CY62" s="49" t="s">
        <v>36</v>
      </c>
      <c r="CZ62" s="49">
        <v>0</v>
      </c>
      <c r="DA62" s="49">
        <v>1</v>
      </c>
      <c r="DB62" s="64">
        <v>10536</v>
      </c>
      <c r="DC62" s="58">
        <v>53.510000000000005</v>
      </c>
      <c r="DD62" s="58">
        <v>3.51</v>
      </c>
      <c r="DE62" s="58">
        <v>10.82</v>
      </c>
      <c r="DF62" s="58">
        <v>27.400000000000002</v>
      </c>
      <c r="DG62" s="58">
        <v>4.7646165527714501</v>
      </c>
      <c r="DH62" s="58">
        <v>46.489999999999995</v>
      </c>
      <c r="DI62" s="45" t="s">
        <v>29</v>
      </c>
      <c r="DJ62" s="59" t="str">
        <f t="shared" si="27"/>
        <v>N/A</v>
      </c>
      <c r="DK62" s="65">
        <v>10536</v>
      </c>
      <c r="DL62" s="58">
        <v>53.510000000000005</v>
      </c>
      <c r="DM62" s="58">
        <v>3.51</v>
      </c>
      <c r="DN62" s="58">
        <v>10.82</v>
      </c>
      <c r="DO62" s="58">
        <v>46.489999999999995</v>
      </c>
      <c r="DP62" s="66">
        <v>51.35</v>
      </c>
      <c r="DQ62" s="67">
        <v>65212</v>
      </c>
      <c r="DR62" s="53">
        <v>18.5</v>
      </c>
      <c r="DS62" s="58">
        <v>69.7</v>
      </c>
      <c r="DT62" s="53">
        <v>44.9</v>
      </c>
      <c r="DU62" s="55">
        <v>2.2200000000000002</v>
      </c>
      <c r="DV62" s="50">
        <v>33.6</v>
      </c>
      <c r="DW62" s="53">
        <v>93.6</v>
      </c>
      <c r="DX62" s="53">
        <v>87.47</v>
      </c>
      <c r="DY62" s="53">
        <v>56.946899999999999</v>
      </c>
      <c r="DZ62" s="63"/>
    </row>
    <row r="63" spans="1:130" s="5" customFormat="1" ht="14.25" hidden="1" customHeight="1">
      <c r="A63" s="45">
        <v>1067</v>
      </c>
      <c r="B63" s="47" t="s">
        <v>69</v>
      </c>
      <c r="C63" s="47">
        <v>2006</v>
      </c>
      <c r="D63" s="47" t="s">
        <v>85</v>
      </c>
      <c r="E63" s="46" t="s">
        <v>86</v>
      </c>
      <c r="F63" s="46">
        <v>4</v>
      </c>
      <c r="G63" s="48">
        <v>30000</v>
      </c>
      <c r="H63" s="46" t="s">
        <v>332</v>
      </c>
      <c r="I63" s="46">
        <v>1</v>
      </c>
      <c r="J63" s="46">
        <v>2</v>
      </c>
      <c r="K63" s="49" t="s">
        <v>104</v>
      </c>
      <c r="L63" s="49" t="s">
        <v>30</v>
      </c>
      <c r="M63" s="49" t="s">
        <v>29</v>
      </c>
      <c r="N63" s="49" t="s">
        <v>513</v>
      </c>
      <c r="O63" s="49"/>
      <c r="P63" s="49" t="s">
        <v>31</v>
      </c>
      <c r="Q63" s="49" t="s">
        <v>29</v>
      </c>
      <c r="R63" s="49">
        <v>0</v>
      </c>
      <c r="S63" s="50">
        <f t="shared" si="17"/>
        <v>0</v>
      </c>
      <c r="T63" s="49">
        <v>0</v>
      </c>
      <c r="U63" s="50">
        <f t="shared" si="18"/>
        <v>0</v>
      </c>
      <c r="V63" s="45"/>
      <c r="W63" s="49">
        <v>0</v>
      </c>
      <c r="X63" s="50">
        <f t="shared" si="19"/>
        <v>0</v>
      </c>
      <c r="Y63" s="51" t="str">
        <f t="shared" si="20"/>
        <v>No</v>
      </c>
      <c r="Z63" s="49" t="s">
        <v>29</v>
      </c>
      <c r="AA63" s="49" t="s">
        <v>29</v>
      </c>
      <c r="AB63" s="49" t="s">
        <v>29</v>
      </c>
      <c r="AC63" s="46" t="s">
        <v>26</v>
      </c>
      <c r="AD63" s="46" t="s">
        <v>27</v>
      </c>
      <c r="AE63" s="46" t="s">
        <v>73</v>
      </c>
      <c r="AF63" s="46" t="s">
        <v>29</v>
      </c>
      <c r="AG63" s="103"/>
      <c r="AH63" s="52">
        <v>4327</v>
      </c>
      <c r="AI63" s="52">
        <v>4327</v>
      </c>
      <c r="AJ63" s="102">
        <v>63.09</v>
      </c>
      <c r="AK63" s="104">
        <v>126.18</v>
      </c>
      <c r="AL63" s="102">
        <v>63.09</v>
      </c>
      <c r="AM63" s="102"/>
      <c r="AN63" s="53">
        <f t="shared" si="21"/>
        <v>126.18</v>
      </c>
      <c r="AO63" s="53">
        <v>36.54</v>
      </c>
      <c r="AP63" s="102"/>
      <c r="AQ63" s="102"/>
      <c r="AR63" s="102"/>
      <c r="AS63" s="102"/>
      <c r="AT63" s="102"/>
      <c r="AU63" s="102"/>
      <c r="AV63" s="102"/>
      <c r="AW63" s="102"/>
      <c r="AX63" s="102"/>
      <c r="AY63" s="102"/>
      <c r="AZ63" s="102"/>
      <c r="BA63" s="102"/>
      <c r="BB63" s="102"/>
      <c r="BC63" s="102"/>
      <c r="BD63" s="102"/>
      <c r="BE63" s="102"/>
      <c r="BF63" s="102"/>
      <c r="BG63" s="102"/>
      <c r="BH63" s="102"/>
      <c r="BI63" s="102"/>
      <c r="BJ63" s="102"/>
      <c r="BK63" s="102"/>
      <c r="BL63" s="102"/>
      <c r="BM63" s="102"/>
      <c r="BN63" s="102"/>
      <c r="BO63" s="102"/>
      <c r="BP63" s="102"/>
      <c r="BQ63" s="102"/>
      <c r="BR63" s="102"/>
      <c r="BS63" s="54" t="s">
        <v>23</v>
      </c>
      <c r="BT63" s="45" t="str">
        <f t="shared" si="22"/>
        <v>Yes</v>
      </c>
      <c r="BU63" s="45" t="str">
        <f t="shared" si="23"/>
        <v>No</v>
      </c>
      <c r="BV63" s="45" t="str">
        <f t="shared" si="24"/>
        <v>No</v>
      </c>
      <c r="BW63" s="55">
        <v>92.6830347268303</v>
      </c>
      <c r="BX63" s="55"/>
      <c r="BY63" s="55">
        <v>93.913034726830347</v>
      </c>
      <c r="BZ63" s="55"/>
      <c r="CA63" s="45">
        <v>2004</v>
      </c>
      <c r="CB63" s="55">
        <f t="shared" si="25"/>
        <v>46.372307362554928</v>
      </c>
      <c r="CC63" s="46" t="s">
        <v>951</v>
      </c>
      <c r="CD63" s="46" t="s">
        <v>952</v>
      </c>
      <c r="CE63" s="46" t="s">
        <v>950</v>
      </c>
      <c r="CF63" s="46">
        <v>2</v>
      </c>
      <c r="CG63" s="46" t="str">
        <f t="shared" si="26"/>
        <v>No</v>
      </c>
      <c r="CH63" s="46" t="s">
        <v>29</v>
      </c>
      <c r="CI63" s="56">
        <v>150</v>
      </c>
      <c r="CJ63" s="46">
        <v>20</v>
      </c>
      <c r="CK63" s="46">
        <v>150</v>
      </c>
      <c r="CL63" s="49" t="s">
        <v>29</v>
      </c>
      <c r="CM63" s="50">
        <v>0</v>
      </c>
      <c r="CN63" s="50"/>
      <c r="CO63" s="50"/>
      <c r="CP63" s="46" t="s">
        <v>23</v>
      </c>
      <c r="CQ63" s="46" t="s">
        <v>24</v>
      </c>
      <c r="CR63" s="46">
        <v>9</v>
      </c>
      <c r="CS63" s="46" t="s">
        <v>854</v>
      </c>
      <c r="CT63" s="46" t="s">
        <v>856</v>
      </c>
      <c r="CU63" s="46" t="s">
        <v>74</v>
      </c>
      <c r="CV63" s="46">
        <v>1</v>
      </c>
      <c r="CW63" s="46" t="s">
        <v>23</v>
      </c>
      <c r="CX63" s="49" t="s">
        <v>744</v>
      </c>
      <c r="CY63" s="49" t="s">
        <v>36</v>
      </c>
      <c r="CZ63" s="49">
        <v>0</v>
      </c>
      <c r="DA63" s="49">
        <v>1</v>
      </c>
      <c r="DB63" s="64">
        <v>9331</v>
      </c>
      <c r="DC63" s="58">
        <v>68.25</v>
      </c>
      <c r="DD63" s="58">
        <v>1.48</v>
      </c>
      <c r="DE63" s="58">
        <v>7.04</v>
      </c>
      <c r="DF63" s="58">
        <v>18.829999999999998</v>
      </c>
      <c r="DG63" s="58">
        <v>4.436823491587182</v>
      </c>
      <c r="DH63" s="58">
        <v>31.75</v>
      </c>
      <c r="DI63" s="45" t="s">
        <v>29</v>
      </c>
      <c r="DJ63" s="59" t="str">
        <f t="shared" si="27"/>
        <v>N/A</v>
      </c>
      <c r="DK63" s="65">
        <v>9331</v>
      </c>
      <c r="DL63" s="58">
        <v>68.25</v>
      </c>
      <c r="DM63" s="58">
        <v>1.48</v>
      </c>
      <c r="DN63" s="58">
        <v>7.04</v>
      </c>
      <c r="DO63" s="58">
        <v>31.75</v>
      </c>
      <c r="DP63" s="66">
        <v>51.35</v>
      </c>
      <c r="DQ63" s="67">
        <v>65212</v>
      </c>
      <c r="DR63" s="53">
        <v>18.5</v>
      </c>
      <c r="DS63" s="58">
        <v>69.7</v>
      </c>
      <c r="DT63" s="53">
        <v>44.9</v>
      </c>
      <c r="DU63" s="55">
        <v>2.2200000000000002</v>
      </c>
      <c r="DV63" s="50">
        <v>33.6</v>
      </c>
      <c r="DW63" s="53">
        <v>93.6</v>
      </c>
      <c r="DX63" s="53">
        <v>87.47</v>
      </c>
      <c r="DY63" s="53">
        <v>56.946899999999999</v>
      </c>
      <c r="DZ63" s="63"/>
    </row>
    <row r="64" spans="1:130" s="5" customFormat="1" ht="14.25" hidden="1" customHeight="1">
      <c r="A64" s="45">
        <v>1062</v>
      </c>
      <c r="B64" s="47" t="s">
        <v>69</v>
      </c>
      <c r="C64" s="47">
        <v>2006</v>
      </c>
      <c r="D64" s="47" t="s">
        <v>38</v>
      </c>
      <c r="E64" s="46" t="s">
        <v>22</v>
      </c>
      <c r="F64" s="46">
        <v>2</v>
      </c>
      <c r="G64" s="48">
        <f>12*4217</f>
        <v>50604</v>
      </c>
      <c r="H64" s="46" t="s">
        <v>332</v>
      </c>
      <c r="I64" s="46">
        <v>1</v>
      </c>
      <c r="J64" s="46">
        <v>4</v>
      </c>
      <c r="K64" s="49" t="s">
        <v>90</v>
      </c>
      <c r="L64" s="49" t="s">
        <v>30</v>
      </c>
      <c r="M64" s="49" t="s">
        <v>29</v>
      </c>
      <c r="N64" s="49" t="s">
        <v>513</v>
      </c>
      <c r="O64" s="49"/>
      <c r="P64" s="49" t="s">
        <v>31</v>
      </c>
      <c r="Q64" s="49" t="s">
        <v>29</v>
      </c>
      <c r="R64" s="49">
        <v>1</v>
      </c>
      <c r="S64" s="50">
        <f t="shared" si="17"/>
        <v>25</v>
      </c>
      <c r="T64" s="49">
        <v>1</v>
      </c>
      <c r="U64" s="50">
        <f t="shared" si="18"/>
        <v>25</v>
      </c>
      <c r="V64" s="49" t="s">
        <v>776</v>
      </c>
      <c r="W64" s="49">
        <v>0</v>
      </c>
      <c r="X64" s="50">
        <f t="shared" si="19"/>
        <v>0</v>
      </c>
      <c r="Y64" s="51" t="str">
        <f t="shared" si="20"/>
        <v>No</v>
      </c>
      <c r="Z64" s="49" t="s">
        <v>29</v>
      </c>
      <c r="AA64" s="49" t="s">
        <v>29</v>
      </c>
      <c r="AB64" s="49" t="s">
        <v>29</v>
      </c>
      <c r="AC64" s="46" t="s">
        <v>26</v>
      </c>
      <c r="AD64" s="46" t="s">
        <v>27</v>
      </c>
      <c r="AE64" s="46" t="s">
        <v>73</v>
      </c>
      <c r="AF64" s="46" t="s">
        <v>29</v>
      </c>
      <c r="AG64" s="103"/>
      <c r="AH64" s="52">
        <v>40914</v>
      </c>
      <c r="AI64" s="52">
        <v>40914</v>
      </c>
      <c r="AJ64" s="102">
        <v>62.77</v>
      </c>
      <c r="AK64" s="104">
        <v>125.54</v>
      </c>
      <c r="AL64" s="102">
        <v>62.77</v>
      </c>
      <c r="AM64" s="102"/>
      <c r="AN64" s="53">
        <f t="shared" si="21"/>
        <v>125.54</v>
      </c>
      <c r="AO64" s="53">
        <v>30.92</v>
      </c>
      <c r="AP64" s="102"/>
      <c r="AQ64" s="102"/>
      <c r="AR64" s="102"/>
      <c r="AS64" s="102"/>
      <c r="AT64" s="102"/>
      <c r="AU64" s="102"/>
      <c r="AV64" s="102"/>
      <c r="AW64" s="102"/>
      <c r="AX64" s="102"/>
      <c r="AY64" s="102"/>
      <c r="AZ64" s="102"/>
      <c r="BA64" s="102"/>
      <c r="BB64" s="102"/>
      <c r="BC64" s="102"/>
      <c r="BD64" s="102"/>
      <c r="BE64" s="102"/>
      <c r="BF64" s="102"/>
      <c r="BG64" s="102"/>
      <c r="BH64" s="102"/>
      <c r="BI64" s="102"/>
      <c r="BJ64" s="102"/>
      <c r="BK64" s="102"/>
      <c r="BL64" s="102"/>
      <c r="BM64" s="102"/>
      <c r="BN64" s="102"/>
      <c r="BO64" s="102"/>
      <c r="BP64" s="102"/>
      <c r="BQ64" s="102"/>
      <c r="BR64" s="102"/>
      <c r="BS64" s="54" t="s">
        <v>23</v>
      </c>
      <c r="BT64" s="45" t="str">
        <f t="shared" si="22"/>
        <v>No</v>
      </c>
      <c r="BU64" s="45" t="str">
        <f t="shared" si="23"/>
        <v>No</v>
      </c>
      <c r="BV64" s="45" t="str">
        <f t="shared" si="24"/>
        <v>No</v>
      </c>
      <c r="BW64" s="55">
        <v>92.6830347268303</v>
      </c>
      <c r="BX64" s="55">
        <v>92.6830347268303</v>
      </c>
      <c r="BY64" s="55">
        <v>93.913034726830347</v>
      </c>
      <c r="BZ64" s="55">
        <f>BX64-(-0.0246*100/2)</f>
        <v>93.913034726830304</v>
      </c>
      <c r="CA64" s="45">
        <v>2004</v>
      </c>
      <c r="CB64" s="55">
        <f t="shared" si="25"/>
        <v>52.870711378174065</v>
      </c>
      <c r="CC64" s="46" t="s">
        <v>951</v>
      </c>
      <c r="CD64" s="46" t="s">
        <v>952</v>
      </c>
      <c r="CE64" s="46" t="s">
        <v>950</v>
      </c>
      <c r="CF64" s="46">
        <v>2</v>
      </c>
      <c r="CG64" s="46" t="str">
        <f t="shared" si="26"/>
        <v>No</v>
      </c>
      <c r="CH64" s="46" t="s">
        <v>29</v>
      </c>
      <c r="CI64" s="56">
        <v>150</v>
      </c>
      <c r="CJ64" s="46">
        <v>20</v>
      </c>
      <c r="CK64" s="46">
        <v>150</v>
      </c>
      <c r="CL64" s="49" t="s">
        <v>29</v>
      </c>
      <c r="CM64" s="50">
        <v>0</v>
      </c>
      <c r="CN64" s="50">
        <v>163697.05169999998</v>
      </c>
      <c r="CO64" s="50" t="s">
        <v>35</v>
      </c>
      <c r="CP64" s="46" t="s">
        <v>23</v>
      </c>
      <c r="CQ64" s="46" t="s">
        <v>23</v>
      </c>
      <c r="CR64" s="46">
        <v>9</v>
      </c>
      <c r="CS64" s="46" t="s">
        <v>854</v>
      </c>
      <c r="CT64" s="46" t="s">
        <v>53</v>
      </c>
      <c r="CU64" s="46" t="s">
        <v>74</v>
      </c>
      <c r="CV64" s="46">
        <v>2</v>
      </c>
      <c r="CW64" s="46" t="s">
        <v>23</v>
      </c>
      <c r="CX64" s="49" t="s">
        <v>744</v>
      </c>
      <c r="CY64" s="49" t="s">
        <v>36</v>
      </c>
      <c r="CZ64" s="49">
        <v>0</v>
      </c>
      <c r="DA64" s="49">
        <v>1</v>
      </c>
      <c r="DB64" s="64">
        <v>77385</v>
      </c>
      <c r="DC64" s="58">
        <v>62.980000000000004</v>
      </c>
      <c r="DD64" s="58">
        <v>9.9</v>
      </c>
      <c r="DE64" s="58">
        <v>8.23</v>
      </c>
      <c r="DF64" s="58">
        <v>15.53</v>
      </c>
      <c r="DG64" s="58">
        <v>3.3599999999999963</v>
      </c>
      <c r="DH64" s="58">
        <v>37.019999999999996</v>
      </c>
      <c r="DI64" s="45" t="s">
        <v>29</v>
      </c>
      <c r="DJ64" s="59" t="str">
        <f t="shared" si="27"/>
        <v>N/A</v>
      </c>
      <c r="DK64" s="65">
        <v>77385</v>
      </c>
      <c r="DL64" s="58">
        <v>62.980000000000004</v>
      </c>
      <c r="DM64" s="58">
        <v>9.9</v>
      </c>
      <c r="DN64" s="58">
        <v>8.23</v>
      </c>
      <c r="DO64" s="58">
        <v>37.019999999999996</v>
      </c>
      <c r="DP64" s="66">
        <v>51.35</v>
      </c>
      <c r="DQ64" s="67">
        <v>65212</v>
      </c>
      <c r="DR64" s="53">
        <v>18.5</v>
      </c>
      <c r="DS64" s="58">
        <v>69.7</v>
      </c>
      <c r="DT64" s="53">
        <v>44.9</v>
      </c>
      <c r="DU64" s="55">
        <v>2.2200000000000002</v>
      </c>
      <c r="DV64" s="50">
        <v>33.6</v>
      </c>
      <c r="DW64" s="53">
        <v>93.6</v>
      </c>
      <c r="DX64" s="53">
        <v>87.47</v>
      </c>
      <c r="DY64" s="53">
        <v>56.946899999999999</v>
      </c>
      <c r="DZ64" s="63"/>
    </row>
    <row r="65" spans="1:130" s="5" customFormat="1" ht="14.25" hidden="1" customHeight="1">
      <c r="A65" s="45">
        <v>1057</v>
      </c>
      <c r="B65" s="47" t="s">
        <v>69</v>
      </c>
      <c r="C65" s="47">
        <v>2008</v>
      </c>
      <c r="D65" s="47" t="s">
        <v>91</v>
      </c>
      <c r="E65" s="46" t="s">
        <v>92</v>
      </c>
      <c r="F65" s="46">
        <v>4</v>
      </c>
      <c r="G65" s="48">
        <v>30000</v>
      </c>
      <c r="H65" s="46" t="s">
        <v>332</v>
      </c>
      <c r="I65" s="46">
        <v>1</v>
      </c>
      <c r="J65" s="46">
        <v>2</v>
      </c>
      <c r="K65" s="49" t="s">
        <v>93</v>
      </c>
      <c r="L65" s="49" t="s">
        <v>30</v>
      </c>
      <c r="M65" s="49" t="s">
        <v>29</v>
      </c>
      <c r="N65" s="49" t="s">
        <v>513</v>
      </c>
      <c r="O65" s="49"/>
      <c r="P65" s="49" t="s">
        <v>201</v>
      </c>
      <c r="Q65" s="49" t="s">
        <v>35</v>
      </c>
      <c r="R65" s="49">
        <v>0</v>
      </c>
      <c r="S65" s="50">
        <f t="shared" si="17"/>
        <v>0</v>
      </c>
      <c r="T65" s="49">
        <v>1</v>
      </c>
      <c r="U65" s="50">
        <f t="shared" si="18"/>
        <v>50</v>
      </c>
      <c r="V65" s="49" t="s">
        <v>858</v>
      </c>
      <c r="W65" s="49">
        <v>0</v>
      </c>
      <c r="X65" s="50">
        <f t="shared" si="19"/>
        <v>0</v>
      </c>
      <c r="Y65" s="51" t="str">
        <f t="shared" si="20"/>
        <v>No</v>
      </c>
      <c r="Z65" s="49" t="s">
        <v>29</v>
      </c>
      <c r="AA65" s="49" t="s">
        <v>35</v>
      </c>
      <c r="AB65" s="49" t="s">
        <v>29</v>
      </c>
      <c r="AC65" s="46" t="s">
        <v>26</v>
      </c>
      <c r="AD65" s="46" t="s">
        <v>27</v>
      </c>
      <c r="AE65" s="46" t="s">
        <v>89</v>
      </c>
      <c r="AF65" s="46" t="s">
        <v>29</v>
      </c>
      <c r="AG65" s="103"/>
      <c r="AH65" s="52">
        <v>5591</v>
      </c>
      <c r="AI65" s="52">
        <v>5591</v>
      </c>
      <c r="AJ65" s="102">
        <v>81.790000000000006</v>
      </c>
      <c r="AK65" s="104">
        <v>163.58000000000001</v>
      </c>
      <c r="AL65" s="102">
        <v>81.790000000000006</v>
      </c>
      <c r="AM65" s="102"/>
      <c r="AN65" s="53">
        <f t="shared" si="21"/>
        <v>163.58000000000001</v>
      </c>
      <c r="AO65" s="53">
        <v>17.079999999999998</v>
      </c>
      <c r="AP65" s="102"/>
      <c r="AQ65" s="102"/>
      <c r="AR65" s="102"/>
      <c r="AS65" s="102"/>
      <c r="AT65" s="102"/>
      <c r="AU65" s="102"/>
      <c r="AV65" s="102"/>
      <c r="AW65" s="102"/>
      <c r="AX65" s="102"/>
      <c r="AY65" s="102"/>
      <c r="AZ65" s="102"/>
      <c r="BA65" s="102"/>
      <c r="BB65" s="102"/>
      <c r="BC65" s="102"/>
      <c r="BD65" s="102"/>
      <c r="BE65" s="102"/>
      <c r="BF65" s="102"/>
      <c r="BG65" s="102"/>
      <c r="BH65" s="102"/>
      <c r="BI65" s="102"/>
      <c r="BJ65" s="102"/>
      <c r="BK65" s="102"/>
      <c r="BL65" s="102"/>
      <c r="BM65" s="102"/>
      <c r="BN65" s="102"/>
      <c r="BO65" s="102"/>
      <c r="BP65" s="102"/>
      <c r="BQ65" s="102"/>
      <c r="BR65" s="102"/>
      <c r="BS65" s="54" t="s">
        <v>23</v>
      </c>
      <c r="BT65" s="45" t="str">
        <f t="shared" si="22"/>
        <v>No</v>
      </c>
      <c r="BU65" s="45" t="str">
        <f t="shared" si="23"/>
        <v>No</v>
      </c>
      <c r="BV65" s="45" t="str">
        <f t="shared" si="24"/>
        <v>No</v>
      </c>
      <c r="BW65" s="55">
        <f t="shared" ref="BW65:BW75" si="29">(61134/(61134+3243))*100</f>
        <v>94.962486602357984</v>
      </c>
      <c r="BX65" s="55"/>
      <c r="BY65" s="55">
        <v>91.327486602357993</v>
      </c>
      <c r="BZ65" s="55"/>
      <c r="CA65" s="45">
        <v>2008</v>
      </c>
      <c r="CB65" s="55">
        <f t="shared" si="25"/>
        <v>62.136030228939767</v>
      </c>
      <c r="CC65" s="46" t="s">
        <v>951</v>
      </c>
      <c r="CD65" s="46" t="s">
        <v>952</v>
      </c>
      <c r="CE65" s="46" t="s">
        <v>950</v>
      </c>
      <c r="CF65" s="46">
        <v>2</v>
      </c>
      <c r="CG65" s="46" t="str">
        <f t="shared" si="26"/>
        <v>No</v>
      </c>
      <c r="CH65" s="46" t="s">
        <v>29</v>
      </c>
      <c r="CI65" s="56">
        <v>150</v>
      </c>
      <c r="CJ65" s="46">
        <v>20</v>
      </c>
      <c r="CK65" s="46">
        <v>150</v>
      </c>
      <c r="CL65" s="49" t="s">
        <v>29</v>
      </c>
      <c r="CM65" s="50">
        <v>0</v>
      </c>
      <c r="CN65" s="50"/>
      <c r="CO65" s="50"/>
      <c r="CP65" s="46" t="s">
        <v>23</v>
      </c>
      <c r="CQ65" s="46" t="s">
        <v>24</v>
      </c>
      <c r="CR65" s="46">
        <v>9</v>
      </c>
      <c r="CS65" s="46" t="s">
        <v>854</v>
      </c>
      <c r="CT65" s="46" t="s">
        <v>856</v>
      </c>
      <c r="CU65" s="46" t="s">
        <v>74</v>
      </c>
      <c r="CV65" s="46">
        <v>1</v>
      </c>
      <c r="CW65" s="46" t="s">
        <v>23</v>
      </c>
      <c r="CX65" s="49" t="s">
        <v>744</v>
      </c>
      <c r="CY65" s="49" t="s">
        <v>36</v>
      </c>
      <c r="CZ65" s="49">
        <v>0</v>
      </c>
      <c r="DA65" s="49">
        <v>1</v>
      </c>
      <c r="DB65" s="64">
        <v>8998</v>
      </c>
      <c r="DC65" s="58">
        <v>44.35</v>
      </c>
      <c r="DD65" s="58">
        <v>33.43</v>
      </c>
      <c r="DE65" s="58">
        <v>11.39</v>
      </c>
      <c r="DF65" s="58">
        <v>6.8900000000000006</v>
      </c>
      <c r="DG65" s="58">
        <v>3.9230940208935321</v>
      </c>
      <c r="DH65" s="58">
        <v>55.65</v>
      </c>
      <c r="DI65" s="45" t="s">
        <v>35</v>
      </c>
      <c r="DJ65" s="59" t="str">
        <f t="shared" si="27"/>
        <v>No single majority group</v>
      </c>
      <c r="DK65" s="65">
        <v>8998</v>
      </c>
      <c r="DL65" s="58">
        <v>44.35</v>
      </c>
      <c r="DM65" s="58">
        <v>33.43</v>
      </c>
      <c r="DN65" s="58">
        <v>11.39</v>
      </c>
      <c r="DO65" s="58">
        <v>55.65</v>
      </c>
      <c r="DP65" s="66">
        <v>52.1</v>
      </c>
      <c r="DQ65" s="67">
        <v>63638.49</v>
      </c>
      <c r="DR65" s="53">
        <v>18.899999999999999</v>
      </c>
      <c r="DS65" s="58">
        <v>68.2</v>
      </c>
      <c r="DT65" s="53">
        <v>43.3</v>
      </c>
      <c r="DU65" s="55">
        <v>2.25</v>
      </c>
      <c r="DV65" s="50">
        <v>31.6</v>
      </c>
      <c r="DW65" s="53">
        <v>94.1</v>
      </c>
      <c r="DX65" s="53">
        <v>85.65</v>
      </c>
      <c r="DY65" s="53">
        <v>60.400799999999997</v>
      </c>
      <c r="DZ65" s="63"/>
    </row>
    <row r="66" spans="1:130" s="5" customFormat="1" ht="14.25" hidden="1" customHeight="1">
      <c r="A66" s="45">
        <v>1058</v>
      </c>
      <c r="B66" s="47" t="s">
        <v>69</v>
      </c>
      <c r="C66" s="47">
        <v>2008</v>
      </c>
      <c r="D66" s="47" t="s">
        <v>94</v>
      </c>
      <c r="E66" s="46" t="s">
        <v>95</v>
      </c>
      <c r="F66" s="46">
        <v>4</v>
      </c>
      <c r="G66" s="48">
        <v>30000</v>
      </c>
      <c r="H66" s="46" t="s">
        <v>332</v>
      </c>
      <c r="I66" s="46">
        <v>1</v>
      </c>
      <c r="J66" s="46">
        <v>1</v>
      </c>
      <c r="K66" s="49" t="s">
        <v>96</v>
      </c>
      <c r="L66" s="49" t="s">
        <v>30</v>
      </c>
      <c r="M66" s="49" t="s">
        <v>29</v>
      </c>
      <c r="N66" s="49" t="s">
        <v>513</v>
      </c>
      <c r="O66" s="49"/>
      <c r="P66" s="49" t="s">
        <v>201</v>
      </c>
      <c r="Q66" s="49" t="s">
        <v>35</v>
      </c>
      <c r="R66" s="49">
        <v>0</v>
      </c>
      <c r="S66" s="50">
        <f t="shared" si="17"/>
        <v>0</v>
      </c>
      <c r="T66" s="49">
        <v>1</v>
      </c>
      <c r="U66" s="50">
        <f t="shared" si="18"/>
        <v>100</v>
      </c>
      <c r="V66" s="49" t="s">
        <v>858</v>
      </c>
      <c r="W66" s="49">
        <v>0</v>
      </c>
      <c r="X66" s="50">
        <f t="shared" si="19"/>
        <v>0</v>
      </c>
      <c r="Y66" s="51" t="str">
        <f t="shared" si="20"/>
        <v>No</v>
      </c>
      <c r="Z66" s="49" t="s">
        <v>29</v>
      </c>
      <c r="AA66" s="49" t="s">
        <v>35</v>
      </c>
      <c r="AB66" s="49" t="s">
        <v>29</v>
      </c>
      <c r="AC66" s="46" t="s">
        <v>26</v>
      </c>
      <c r="AD66" s="46" t="s">
        <v>27</v>
      </c>
      <c r="AE66" s="46" t="s">
        <v>89</v>
      </c>
      <c r="AF66" s="46" t="s">
        <v>29</v>
      </c>
      <c r="AG66" s="103"/>
      <c r="AH66" s="52">
        <v>4846</v>
      </c>
      <c r="AI66" s="52">
        <v>4846</v>
      </c>
      <c r="AJ66" s="102">
        <v>96.04</v>
      </c>
      <c r="AK66" s="104">
        <v>192.08</v>
      </c>
      <c r="AL66" s="102">
        <v>96.04</v>
      </c>
      <c r="AM66" s="102"/>
      <c r="AN66" s="53">
        <f t="shared" si="21"/>
        <v>192.08</v>
      </c>
      <c r="AO66" s="53" t="s">
        <v>23</v>
      </c>
      <c r="AP66" s="102"/>
      <c r="AQ66" s="102"/>
      <c r="AR66" s="102"/>
      <c r="AS66" s="102"/>
      <c r="AT66" s="102"/>
      <c r="AU66" s="102"/>
      <c r="AV66" s="102"/>
      <c r="AW66" s="102"/>
      <c r="AX66" s="102"/>
      <c r="AY66" s="102"/>
      <c r="AZ66" s="102"/>
      <c r="BA66" s="102"/>
      <c r="BB66" s="102"/>
      <c r="BC66" s="102"/>
      <c r="BD66" s="102"/>
      <c r="BE66" s="102"/>
      <c r="BF66" s="102"/>
      <c r="BG66" s="102"/>
      <c r="BH66" s="102"/>
      <c r="BI66" s="102"/>
      <c r="BJ66" s="102"/>
      <c r="BK66" s="102"/>
      <c r="BL66" s="102"/>
      <c r="BM66" s="102"/>
      <c r="BN66" s="102"/>
      <c r="BO66" s="102"/>
      <c r="BP66" s="102"/>
      <c r="BQ66" s="102"/>
      <c r="BR66" s="102"/>
      <c r="BS66" s="54" t="s">
        <v>23</v>
      </c>
      <c r="BT66" s="45" t="str">
        <f t="shared" si="22"/>
        <v>No</v>
      </c>
      <c r="BU66" s="45" t="str">
        <f t="shared" si="23"/>
        <v>No</v>
      </c>
      <c r="BV66" s="45" t="str">
        <f t="shared" si="24"/>
        <v>No</v>
      </c>
      <c r="BW66" s="55">
        <f t="shared" si="29"/>
        <v>94.962486602357984</v>
      </c>
      <c r="BX66" s="55"/>
      <c r="BY66" s="55">
        <v>91.327486602357993</v>
      </c>
      <c r="BZ66" s="55"/>
      <c r="CA66" s="45">
        <v>2008</v>
      </c>
      <c r="CB66" s="55">
        <f t="shared" si="25"/>
        <v>46.862005608741903</v>
      </c>
      <c r="CC66" s="46" t="s">
        <v>951</v>
      </c>
      <c r="CD66" s="46" t="s">
        <v>952</v>
      </c>
      <c r="CE66" s="46" t="s">
        <v>950</v>
      </c>
      <c r="CF66" s="46">
        <v>2</v>
      </c>
      <c r="CG66" s="46" t="str">
        <f t="shared" si="26"/>
        <v>No</v>
      </c>
      <c r="CH66" s="46" t="s">
        <v>29</v>
      </c>
      <c r="CI66" s="56">
        <v>150</v>
      </c>
      <c r="CJ66" s="46">
        <v>20</v>
      </c>
      <c r="CK66" s="46">
        <v>150</v>
      </c>
      <c r="CL66" s="49" t="s">
        <v>29</v>
      </c>
      <c r="CM66" s="50">
        <v>0</v>
      </c>
      <c r="CN66" s="50"/>
      <c r="CO66" s="50"/>
      <c r="CP66" s="46" t="s">
        <v>23</v>
      </c>
      <c r="CQ66" s="46" t="s">
        <v>24</v>
      </c>
      <c r="CR66" s="46">
        <v>9</v>
      </c>
      <c r="CS66" s="46" t="s">
        <v>854</v>
      </c>
      <c r="CT66" s="46" t="s">
        <v>856</v>
      </c>
      <c r="CU66" s="46" t="s">
        <v>74</v>
      </c>
      <c r="CV66" s="46">
        <v>1</v>
      </c>
      <c r="CW66" s="46" t="s">
        <v>23</v>
      </c>
      <c r="CX66" s="49" t="s">
        <v>744</v>
      </c>
      <c r="CY66" s="49" t="s">
        <v>36</v>
      </c>
      <c r="CZ66" s="49">
        <v>0</v>
      </c>
      <c r="DA66" s="49">
        <v>1</v>
      </c>
      <c r="DB66" s="64">
        <v>10341</v>
      </c>
      <c r="DC66" s="58">
        <v>51.12</v>
      </c>
      <c r="DD66" s="58">
        <v>24.310000000000002</v>
      </c>
      <c r="DE66" s="58">
        <v>11</v>
      </c>
      <c r="DF66" s="58">
        <v>9.5500000000000007</v>
      </c>
      <c r="DG66" s="58">
        <v>3.9744705541050189</v>
      </c>
      <c r="DH66" s="58">
        <v>48.88</v>
      </c>
      <c r="DI66" s="45" t="s">
        <v>29</v>
      </c>
      <c r="DJ66" s="59" t="str">
        <f t="shared" si="27"/>
        <v>N/A</v>
      </c>
      <c r="DK66" s="65">
        <v>10341</v>
      </c>
      <c r="DL66" s="58">
        <v>51.12</v>
      </c>
      <c r="DM66" s="58">
        <v>24.310000000000002</v>
      </c>
      <c r="DN66" s="58">
        <v>11</v>
      </c>
      <c r="DO66" s="58">
        <v>48.88</v>
      </c>
      <c r="DP66" s="66">
        <v>52.1</v>
      </c>
      <c r="DQ66" s="67">
        <v>63638.49</v>
      </c>
      <c r="DR66" s="53">
        <v>18.899999999999999</v>
      </c>
      <c r="DS66" s="58">
        <v>68.2</v>
      </c>
      <c r="DT66" s="53">
        <v>43.3</v>
      </c>
      <c r="DU66" s="55">
        <v>2.25</v>
      </c>
      <c r="DV66" s="50">
        <v>31.6</v>
      </c>
      <c r="DW66" s="53">
        <v>94.1</v>
      </c>
      <c r="DX66" s="53">
        <v>85.65</v>
      </c>
      <c r="DY66" s="53">
        <v>60.400799999999997</v>
      </c>
      <c r="DZ66" s="63"/>
    </row>
    <row r="67" spans="1:130" s="5" customFormat="1" ht="14.25" hidden="1" customHeight="1">
      <c r="A67" s="45">
        <v>1059</v>
      </c>
      <c r="B67" s="47" t="s">
        <v>69</v>
      </c>
      <c r="C67" s="47">
        <v>2008</v>
      </c>
      <c r="D67" s="47" t="s">
        <v>79</v>
      </c>
      <c r="E67" s="46" t="s">
        <v>80</v>
      </c>
      <c r="F67" s="46">
        <v>2</v>
      </c>
      <c r="G67" s="48">
        <v>30000</v>
      </c>
      <c r="H67" s="46" t="s">
        <v>332</v>
      </c>
      <c r="I67" s="46">
        <v>1</v>
      </c>
      <c r="J67" s="46">
        <v>5</v>
      </c>
      <c r="K67" s="49" t="s">
        <v>81</v>
      </c>
      <c r="L67" s="49" t="s">
        <v>30</v>
      </c>
      <c r="M67" s="49" t="s">
        <v>29</v>
      </c>
      <c r="N67" s="49" t="s">
        <v>512</v>
      </c>
      <c r="O67" s="49"/>
      <c r="P67" s="49" t="s">
        <v>857</v>
      </c>
      <c r="Q67" s="49" t="s">
        <v>35</v>
      </c>
      <c r="R67" s="49">
        <v>0</v>
      </c>
      <c r="S67" s="50">
        <f t="shared" si="17"/>
        <v>0</v>
      </c>
      <c r="T67" s="49">
        <v>1</v>
      </c>
      <c r="U67" s="50">
        <f t="shared" si="18"/>
        <v>20</v>
      </c>
      <c r="V67" s="49" t="s">
        <v>789</v>
      </c>
      <c r="W67" s="49">
        <v>0</v>
      </c>
      <c r="X67" s="50">
        <f t="shared" si="19"/>
        <v>0</v>
      </c>
      <c r="Y67" s="51" t="str">
        <f t="shared" si="20"/>
        <v>No</v>
      </c>
      <c r="Z67" s="49" t="s">
        <v>35</v>
      </c>
      <c r="AA67" s="49" t="s">
        <v>23</v>
      </c>
      <c r="AB67" s="49" t="s">
        <v>23</v>
      </c>
      <c r="AC67" s="46" t="s">
        <v>26</v>
      </c>
      <c r="AD67" s="46" t="s">
        <v>27</v>
      </c>
      <c r="AE67" s="46" t="s">
        <v>89</v>
      </c>
      <c r="AF67" s="46" t="s">
        <v>35</v>
      </c>
      <c r="AG67" s="103"/>
      <c r="AH67" s="52">
        <v>6196</v>
      </c>
      <c r="AI67" s="52">
        <v>6196</v>
      </c>
      <c r="AJ67" s="102">
        <v>48.29</v>
      </c>
      <c r="AK67" s="104">
        <v>96.58</v>
      </c>
      <c r="AL67" s="102">
        <v>48.29</v>
      </c>
      <c r="AM67" s="102"/>
      <c r="AN67" s="53">
        <f t="shared" si="21"/>
        <v>96.58</v>
      </c>
      <c r="AO67" s="53">
        <v>36.85</v>
      </c>
      <c r="AP67" s="102"/>
      <c r="AQ67" s="102"/>
      <c r="AR67" s="102"/>
      <c r="AS67" s="102"/>
      <c r="AT67" s="102"/>
      <c r="AU67" s="102"/>
      <c r="AV67" s="102"/>
      <c r="AW67" s="102"/>
      <c r="AX67" s="102"/>
      <c r="AY67" s="102"/>
      <c r="AZ67" s="102"/>
      <c r="BA67" s="102"/>
      <c r="BB67" s="102"/>
      <c r="BC67" s="102"/>
      <c r="BD67" s="102"/>
      <c r="BE67" s="102"/>
      <c r="BF67" s="102"/>
      <c r="BG67" s="102"/>
      <c r="BH67" s="102"/>
      <c r="BI67" s="102"/>
      <c r="BJ67" s="102"/>
      <c r="BK67" s="102"/>
      <c r="BL67" s="102"/>
      <c r="BM67" s="102"/>
      <c r="BN67" s="102"/>
      <c r="BO67" s="102"/>
      <c r="BP67" s="102"/>
      <c r="BQ67" s="102"/>
      <c r="BR67" s="102"/>
      <c r="BS67" s="54" t="s">
        <v>23</v>
      </c>
      <c r="BT67" s="45" t="str">
        <f t="shared" si="22"/>
        <v>Yes</v>
      </c>
      <c r="BU67" s="45" t="str">
        <f t="shared" si="23"/>
        <v>Yes</v>
      </c>
      <c r="BV67" s="45" t="str">
        <f t="shared" si="24"/>
        <v>No</v>
      </c>
      <c r="BW67" s="55">
        <f t="shared" si="29"/>
        <v>94.962486602357984</v>
      </c>
      <c r="BX67" s="55"/>
      <c r="BY67" s="55">
        <v>91.327486602357993</v>
      </c>
      <c r="BZ67" s="55"/>
      <c r="CA67" s="45">
        <v>2008</v>
      </c>
      <c r="CB67" s="55">
        <f t="shared" si="25"/>
        <v>58.129280420302088</v>
      </c>
      <c r="CC67" s="46" t="s">
        <v>951</v>
      </c>
      <c r="CD67" s="46" t="s">
        <v>952</v>
      </c>
      <c r="CE67" s="46" t="s">
        <v>950</v>
      </c>
      <c r="CF67" s="46">
        <v>2</v>
      </c>
      <c r="CG67" s="46" t="str">
        <f t="shared" si="26"/>
        <v>No</v>
      </c>
      <c r="CH67" s="46" t="s">
        <v>29</v>
      </c>
      <c r="CI67" s="56">
        <v>150</v>
      </c>
      <c r="CJ67" s="46">
        <v>20</v>
      </c>
      <c r="CK67" s="46">
        <v>150</v>
      </c>
      <c r="CL67" s="49" t="s">
        <v>29</v>
      </c>
      <c r="CM67" s="50">
        <v>0</v>
      </c>
      <c r="CN67" s="50"/>
      <c r="CO67" s="50"/>
      <c r="CP67" s="46" t="s">
        <v>23</v>
      </c>
      <c r="CQ67" s="46" t="s">
        <v>24</v>
      </c>
      <c r="CR67" s="46">
        <v>9</v>
      </c>
      <c r="CS67" s="46" t="s">
        <v>854</v>
      </c>
      <c r="CT67" s="46" t="s">
        <v>856</v>
      </c>
      <c r="CU67" s="46" t="s">
        <v>74</v>
      </c>
      <c r="CV67" s="46">
        <v>1</v>
      </c>
      <c r="CW67" s="46" t="s">
        <v>23</v>
      </c>
      <c r="CX67" s="49" t="s">
        <v>744</v>
      </c>
      <c r="CY67" s="49" t="s">
        <v>36</v>
      </c>
      <c r="CZ67" s="49">
        <v>0</v>
      </c>
      <c r="DA67" s="49">
        <v>1</v>
      </c>
      <c r="DB67" s="64">
        <v>10659</v>
      </c>
      <c r="DC67" s="58">
        <v>54.49</v>
      </c>
      <c r="DD67" s="58">
        <v>24.310000000000002</v>
      </c>
      <c r="DE67" s="58">
        <v>5.83</v>
      </c>
      <c r="DF67" s="58">
        <v>29.25</v>
      </c>
      <c r="DG67" s="58">
        <v>4.1185852331363169</v>
      </c>
      <c r="DH67" s="58">
        <v>45.51</v>
      </c>
      <c r="DI67" s="45" t="s">
        <v>29</v>
      </c>
      <c r="DJ67" s="59" t="str">
        <f t="shared" si="27"/>
        <v>N/A</v>
      </c>
      <c r="DK67" s="65">
        <v>10659</v>
      </c>
      <c r="DL67" s="58">
        <v>54.49</v>
      </c>
      <c r="DM67" s="58">
        <v>24.310000000000002</v>
      </c>
      <c r="DN67" s="58">
        <v>5.83</v>
      </c>
      <c r="DO67" s="58">
        <v>45.51</v>
      </c>
      <c r="DP67" s="66">
        <v>52.1</v>
      </c>
      <c r="DQ67" s="67">
        <v>63638.49</v>
      </c>
      <c r="DR67" s="53">
        <v>18.899999999999999</v>
      </c>
      <c r="DS67" s="58">
        <v>68.2</v>
      </c>
      <c r="DT67" s="53">
        <v>43.3</v>
      </c>
      <c r="DU67" s="55">
        <v>2.25</v>
      </c>
      <c r="DV67" s="50">
        <v>31.6</v>
      </c>
      <c r="DW67" s="53">
        <v>94.1</v>
      </c>
      <c r="DX67" s="53">
        <v>85.65</v>
      </c>
      <c r="DY67" s="53">
        <v>60.400799999999997</v>
      </c>
      <c r="DZ67" s="63"/>
    </row>
    <row r="68" spans="1:130" s="5" customFormat="1" ht="14.25" hidden="1" customHeight="1">
      <c r="A68" s="45">
        <v>1060</v>
      </c>
      <c r="B68" s="47" t="s">
        <v>69</v>
      </c>
      <c r="C68" s="47">
        <v>2008</v>
      </c>
      <c r="D68" s="47" t="s">
        <v>97</v>
      </c>
      <c r="E68" s="46" t="s">
        <v>98</v>
      </c>
      <c r="F68" s="46">
        <v>4</v>
      </c>
      <c r="G68" s="48">
        <v>30000</v>
      </c>
      <c r="H68" s="46" t="s">
        <v>332</v>
      </c>
      <c r="I68" s="46">
        <v>1</v>
      </c>
      <c r="J68" s="46">
        <v>1</v>
      </c>
      <c r="K68" s="49" t="s">
        <v>99</v>
      </c>
      <c r="L68" s="49" t="s">
        <v>30</v>
      </c>
      <c r="M68" s="49" t="s">
        <v>29</v>
      </c>
      <c r="N68" s="49" t="s">
        <v>513</v>
      </c>
      <c r="O68" s="49"/>
      <c r="P68" s="49" t="s">
        <v>31</v>
      </c>
      <c r="Q68" s="49" t="s">
        <v>29</v>
      </c>
      <c r="R68" s="49">
        <v>0</v>
      </c>
      <c r="S68" s="50">
        <v>0</v>
      </c>
      <c r="T68" s="49">
        <v>0</v>
      </c>
      <c r="U68" s="50">
        <f t="shared" si="18"/>
        <v>0</v>
      </c>
      <c r="V68" s="45"/>
      <c r="W68" s="49">
        <v>0</v>
      </c>
      <c r="X68" s="50">
        <f t="shared" si="19"/>
        <v>0</v>
      </c>
      <c r="Y68" s="51" t="str">
        <f t="shared" si="20"/>
        <v>No</v>
      </c>
      <c r="Z68" s="49" t="s">
        <v>29</v>
      </c>
      <c r="AA68" s="49" t="s">
        <v>29</v>
      </c>
      <c r="AB68" s="49" t="s">
        <v>29</v>
      </c>
      <c r="AC68" s="46" t="s">
        <v>26</v>
      </c>
      <c r="AD68" s="46" t="s">
        <v>27</v>
      </c>
      <c r="AE68" s="46" t="s">
        <v>89</v>
      </c>
      <c r="AF68" s="46" t="s">
        <v>29</v>
      </c>
      <c r="AG68" s="103"/>
      <c r="AH68" s="52">
        <v>8212</v>
      </c>
      <c r="AI68" s="52">
        <v>8212</v>
      </c>
      <c r="AJ68" s="102">
        <v>52.35</v>
      </c>
      <c r="AK68" s="104">
        <v>104.7</v>
      </c>
      <c r="AL68" s="102">
        <v>52.35</v>
      </c>
      <c r="AM68" s="102"/>
      <c r="AN68" s="53">
        <f t="shared" si="21"/>
        <v>104.7</v>
      </c>
      <c r="AO68" s="53" t="s">
        <v>23</v>
      </c>
      <c r="AP68" s="102"/>
      <c r="AQ68" s="102"/>
      <c r="AR68" s="102"/>
      <c r="AS68" s="102"/>
      <c r="AT68" s="102"/>
      <c r="AU68" s="102"/>
      <c r="AV68" s="102"/>
      <c r="AW68" s="102"/>
      <c r="AX68" s="102"/>
      <c r="AY68" s="102"/>
      <c r="AZ68" s="102"/>
      <c r="BA68" s="102"/>
      <c r="BB68" s="102"/>
      <c r="BC68" s="102"/>
      <c r="BD68" s="102"/>
      <c r="BE68" s="102"/>
      <c r="BF68" s="102"/>
      <c r="BG68" s="102"/>
      <c r="BH68" s="102"/>
      <c r="BI68" s="102"/>
      <c r="BJ68" s="102"/>
      <c r="BK68" s="102"/>
      <c r="BL68" s="102"/>
      <c r="BM68" s="102"/>
      <c r="BN68" s="102"/>
      <c r="BO68" s="102"/>
      <c r="BP68" s="102"/>
      <c r="BQ68" s="102"/>
      <c r="BR68" s="102"/>
      <c r="BS68" s="54" t="s">
        <v>23</v>
      </c>
      <c r="BT68" s="45" t="str">
        <f t="shared" si="22"/>
        <v>No</v>
      </c>
      <c r="BU68" s="45" t="str">
        <f t="shared" si="23"/>
        <v>No</v>
      </c>
      <c r="BV68" s="45" t="str">
        <f t="shared" si="24"/>
        <v>No</v>
      </c>
      <c r="BW68" s="55">
        <f t="shared" si="29"/>
        <v>94.962486602357984</v>
      </c>
      <c r="BX68" s="55"/>
      <c r="BY68" s="55">
        <v>91.327486602357993</v>
      </c>
      <c r="BZ68" s="55"/>
      <c r="CA68" s="45">
        <v>2008</v>
      </c>
      <c r="CB68" s="55">
        <f t="shared" si="25"/>
        <v>84.931223497776401</v>
      </c>
      <c r="CC68" s="46" t="s">
        <v>951</v>
      </c>
      <c r="CD68" s="46" t="s">
        <v>952</v>
      </c>
      <c r="CE68" s="46" t="s">
        <v>950</v>
      </c>
      <c r="CF68" s="46">
        <v>2</v>
      </c>
      <c r="CG68" s="46" t="str">
        <f t="shared" si="26"/>
        <v>No</v>
      </c>
      <c r="CH68" s="46" t="s">
        <v>29</v>
      </c>
      <c r="CI68" s="56">
        <v>150</v>
      </c>
      <c r="CJ68" s="46">
        <v>20</v>
      </c>
      <c r="CK68" s="46">
        <v>150</v>
      </c>
      <c r="CL68" s="49" t="s">
        <v>29</v>
      </c>
      <c r="CM68" s="50">
        <v>0</v>
      </c>
      <c r="CN68" s="50"/>
      <c r="CO68" s="50"/>
      <c r="CP68" s="46" t="s">
        <v>23</v>
      </c>
      <c r="CQ68" s="46" t="s">
        <v>24</v>
      </c>
      <c r="CR68" s="46">
        <v>9</v>
      </c>
      <c r="CS68" s="46" t="s">
        <v>854</v>
      </c>
      <c r="CT68" s="46" t="s">
        <v>856</v>
      </c>
      <c r="CU68" s="46" t="s">
        <v>74</v>
      </c>
      <c r="CV68" s="46">
        <v>1</v>
      </c>
      <c r="CW68" s="46" t="s">
        <v>23</v>
      </c>
      <c r="CX68" s="49" t="s">
        <v>744</v>
      </c>
      <c r="CY68" s="49" t="s">
        <v>36</v>
      </c>
      <c r="CZ68" s="49">
        <v>0</v>
      </c>
      <c r="DA68" s="49">
        <v>1</v>
      </c>
      <c r="DB68" s="64">
        <v>9669</v>
      </c>
      <c r="DC68" s="58">
        <v>81.03</v>
      </c>
      <c r="DD68" s="58">
        <v>1.6199999999999999</v>
      </c>
      <c r="DE68" s="58">
        <v>4.12</v>
      </c>
      <c r="DF68" s="58">
        <v>11.63</v>
      </c>
      <c r="DG68" s="58">
        <v>1.5616920053780121</v>
      </c>
      <c r="DH68" s="58">
        <v>18.97</v>
      </c>
      <c r="DI68" s="45" t="s">
        <v>29</v>
      </c>
      <c r="DJ68" s="59" t="str">
        <f t="shared" si="27"/>
        <v>N/A</v>
      </c>
      <c r="DK68" s="65">
        <v>9669</v>
      </c>
      <c r="DL68" s="58">
        <v>81.03</v>
      </c>
      <c r="DM68" s="58">
        <v>1.6199999999999999</v>
      </c>
      <c r="DN68" s="58">
        <v>4.12</v>
      </c>
      <c r="DO68" s="58">
        <v>18.97</v>
      </c>
      <c r="DP68" s="66">
        <v>52.1</v>
      </c>
      <c r="DQ68" s="67">
        <v>63638.49</v>
      </c>
      <c r="DR68" s="53">
        <v>18.899999999999999</v>
      </c>
      <c r="DS68" s="58">
        <v>68.2</v>
      </c>
      <c r="DT68" s="53">
        <v>43.3</v>
      </c>
      <c r="DU68" s="55">
        <v>2.25</v>
      </c>
      <c r="DV68" s="50">
        <v>31.6</v>
      </c>
      <c r="DW68" s="53">
        <v>94.1</v>
      </c>
      <c r="DX68" s="53">
        <v>85.65</v>
      </c>
      <c r="DY68" s="53">
        <v>60.400799999999997</v>
      </c>
      <c r="DZ68" s="63"/>
    </row>
    <row r="69" spans="1:130" s="5" customFormat="1" ht="14.25" hidden="1" customHeight="1">
      <c r="A69" s="45">
        <v>1061</v>
      </c>
      <c r="B69" s="47" t="s">
        <v>69</v>
      </c>
      <c r="C69" s="47">
        <v>2008</v>
      </c>
      <c r="D69" s="47" t="s">
        <v>100</v>
      </c>
      <c r="E69" s="71" t="s">
        <v>101</v>
      </c>
      <c r="F69" s="46">
        <v>4</v>
      </c>
      <c r="G69" s="48">
        <v>30000</v>
      </c>
      <c r="H69" s="46" t="s">
        <v>332</v>
      </c>
      <c r="I69" s="46">
        <v>1</v>
      </c>
      <c r="J69" s="46">
        <v>2</v>
      </c>
      <c r="K69" s="49" t="s">
        <v>102</v>
      </c>
      <c r="L69" s="49" t="s">
        <v>40</v>
      </c>
      <c r="M69" s="49" t="s">
        <v>35</v>
      </c>
      <c r="N69" s="49" t="s">
        <v>512</v>
      </c>
      <c r="O69" s="49"/>
      <c r="P69" s="49" t="s">
        <v>31</v>
      </c>
      <c r="Q69" s="49" t="s">
        <v>29</v>
      </c>
      <c r="R69" s="49">
        <v>2</v>
      </c>
      <c r="S69" s="50">
        <f t="shared" ref="S69:S85" si="30">(R69/J69)*100</f>
        <v>100</v>
      </c>
      <c r="T69" s="49">
        <v>0</v>
      </c>
      <c r="U69" s="50">
        <f t="shared" ref="U69:U85" si="31">(T69/J69)*100</f>
        <v>0</v>
      </c>
      <c r="V69" s="45"/>
      <c r="W69" s="49">
        <v>0</v>
      </c>
      <c r="X69" s="50">
        <f t="shared" ref="X69:X85" si="32">(W69/J69)*100</f>
        <v>0</v>
      </c>
      <c r="Y69" s="51" t="str">
        <f t="shared" ref="Y69:Y85" si="33">IF(L69="M","No", IF(P69="n/a","No",IF(P69="white","No","Yes")))</f>
        <v>No</v>
      </c>
      <c r="Z69" s="49" t="s">
        <v>35</v>
      </c>
      <c r="AA69" s="49" t="s">
        <v>23</v>
      </c>
      <c r="AB69" s="49" t="s">
        <v>23</v>
      </c>
      <c r="AC69" s="46" t="s">
        <v>26</v>
      </c>
      <c r="AD69" s="46" t="s">
        <v>27</v>
      </c>
      <c r="AE69" s="46" t="s">
        <v>89</v>
      </c>
      <c r="AF69" s="46" t="s">
        <v>29</v>
      </c>
      <c r="AG69" s="103"/>
      <c r="AH69" s="52">
        <v>7211</v>
      </c>
      <c r="AI69" s="52">
        <v>7211</v>
      </c>
      <c r="AJ69" s="102">
        <v>76.400000000000006</v>
      </c>
      <c r="AK69" s="104">
        <v>152.80000000000001</v>
      </c>
      <c r="AL69" s="102">
        <v>76.400000000000006</v>
      </c>
      <c r="AM69" s="102"/>
      <c r="AN69" s="53">
        <f t="shared" ref="AN69:AN85" si="34">AL69/(1/(I69+1))</f>
        <v>152.80000000000001</v>
      </c>
      <c r="AO69" s="53">
        <v>47.47</v>
      </c>
      <c r="AP69" s="102"/>
      <c r="AQ69" s="102"/>
      <c r="AR69" s="102"/>
      <c r="AS69" s="102"/>
      <c r="AT69" s="102"/>
      <c r="AU69" s="102"/>
      <c r="AV69" s="102"/>
      <c r="AW69" s="102"/>
      <c r="AX69" s="102"/>
      <c r="AY69" s="102"/>
      <c r="AZ69" s="102"/>
      <c r="BA69" s="102"/>
      <c r="BB69" s="102"/>
      <c r="BC69" s="102"/>
      <c r="BD69" s="102"/>
      <c r="BE69" s="102"/>
      <c r="BF69" s="102"/>
      <c r="BG69" s="102"/>
      <c r="BH69" s="102"/>
      <c r="BI69" s="102"/>
      <c r="BJ69" s="102"/>
      <c r="BK69" s="102"/>
      <c r="BL69" s="102"/>
      <c r="BM69" s="102"/>
      <c r="BN69" s="102"/>
      <c r="BO69" s="102"/>
      <c r="BP69" s="102"/>
      <c r="BQ69" s="102"/>
      <c r="BR69" s="102"/>
      <c r="BS69" s="54" t="s">
        <v>23</v>
      </c>
      <c r="BT69" s="45" t="str">
        <f t="shared" ref="BT69:BT96" si="35">IF(J69=I69, "No", IF(AJ69/AO69&lt;2, "Yes", "No"))</f>
        <v>Yes</v>
      </c>
      <c r="BU69" s="45" t="str">
        <f t="shared" ref="BU69:BU96" si="36">IF(J69=I69, "No", IF(AJ69/AO69&lt;1.5, "Yes", "No"))</f>
        <v>No</v>
      </c>
      <c r="BV69" s="45" t="str">
        <f t="shared" ref="BV69:BV96" si="37">IF(J69=I69, "No", IF((ABS(AJ69-AO69))&lt;(5/I69), "Yes", "No"))</f>
        <v>No</v>
      </c>
      <c r="BW69" s="55">
        <f t="shared" si="29"/>
        <v>94.962486602357984</v>
      </c>
      <c r="BX69" s="55"/>
      <c r="BY69" s="55">
        <v>91.327486602357993</v>
      </c>
      <c r="BZ69" s="55"/>
      <c r="CA69" s="45">
        <v>2008</v>
      </c>
      <c r="CB69" s="55">
        <f t="shared" ref="CB69:CB85" si="38">((AI69/I69)/DB69)*100</f>
        <v>64.678446497443716</v>
      </c>
      <c r="CC69" s="46" t="s">
        <v>951</v>
      </c>
      <c r="CD69" s="46" t="s">
        <v>952</v>
      </c>
      <c r="CE69" s="46" t="s">
        <v>950</v>
      </c>
      <c r="CF69" s="46">
        <v>2</v>
      </c>
      <c r="CG69" s="46" t="str">
        <f t="shared" ref="CG69:CG85" si="39">IF(CD69="Primary (decisive)", "Yes", "No")</f>
        <v>No</v>
      </c>
      <c r="CH69" s="46" t="s">
        <v>29</v>
      </c>
      <c r="CI69" s="56">
        <v>150</v>
      </c>
      <c r="CJ69" s="46">
        <v>20</v>
      </c>
      <c r="CK69" s="46">
        <v>150</v>
      </c>
      <c r="CL69" s="49" t="s">
        <v>29</v>
      </c>
      <c r="CM69" s="50">
        <v>0</v>
      </c>
      <c r="CN69" s="50"/>
      <c r="CO69" s="50"/>
      <c r="CP69" s="46" t="s">
        <v>23</v>
      </c>
      <c r="CQ69" s="46" t="s">
        <v>24</v>
      </c>
      <c r="CR69" s="46">
        <v>9</v>
      </c>
      <c r="CS69" s="46" t="s">
        <v>854</v>
      </c>
      <c r="CT69" s="46" t="s">
        <v>856</v>
      </c>
      <c r="CU69" s="46" t="s">
        <v>74</v>
      </c>
      <c r="CV69" s="46">
        <v>1</v>
      </c>
      <c r="CW69" s="46" t="s">
        <v>23</v>
      </c>
      <c r="CX69" s="49" t="s">
        <v>744</v>
      </c>
      <c r="CY69" s="49" t="s">
        <v>36</v>
      </c>
      <c r="CZ69" s="49">
        <v>0</v>
      </c>
      <c r="DA69" s="49">
        <v>1</v>
      </c>
      <c r="DB69" s="64">
        <v>11149</v>
      </c>
      <c r="DC69" s="58">
        <v>76.34</v>
      </c>
      <c r="DD69" s="58">
        <v>2</v>
      </c>
      <c r="DE69" s="58">
        <v>4.6100000000000003</v>
      </c>
      <c r="DF69" s="58">
        <v>14.649999999999999</v>
      </c>
      <c r="DG69" s="58">
        <v>2.4307112745537718</v>
      </c>
      <c r="DH69" s="58">
        <v>23.660000000000004</v>
      </c>
      <c r="DI69" s="45" t="s">
        <v>29</v>
      </c>
      <c r="DJ69" s="59" t="str">
        <f t="shared" ref="DJ69:DJ85" si="40">IF(DH69&lt;50,"N/A",IF(DD69&gt;50,"African American",IF(DE69&gt;50,"Latino",IF(DF69&gt;50,"Asian","No single majority group"))))</f>
        <v>N/A</v>
      </c>
      <c r="DK69" s="65">
        <v>11149</v>
      </c>
      <c r="DL69" s="58">
        <v>76.34</v>
      </c>
      <c r="DM69" s="58">
        <v>2</v>
      </c>
      <c r="DN69" s="58">
        <v>4.6100000000000003</v>
      </c>
      <c r="DO69" s="58">
        <v>23.660000000000004</v>
      </c>
      <c r="DP69" s="66">
        <v>52.1</v>
      </c>
      <c r="DQ69" s="67">
        <v>63638.49</v>
      </c>
      <c r="DR69" s="53">
        <v>18.899999999999999</v>
      </c>
      <c r="DS69" s="58">
        <v>68.2</v>
      </c>
      <c r="DT69" s="53">
        <v>43.3</v>
      </c>
      <c r="DU69" s="55">
        <v>2.25</v>
      </c>
      <c r="DV69" s="50">
        <v>31.6</v>
      </c>
      <c r="DW69" s="53">
        <v>94.1</v>
      </c>
      <c r="DX69" s="53">
        <v>85.65</v>
      </c>
      <c r="DY69" s="53">
        <v>60.400799999999997</v>
      </c>
      <c r="DZ69" s="63"/>
    </row>
    <row r="70" spans="1:130" s="5" customFormat="1" ht="14.25" hidden="1" customHeight="1">
      <c r="A70" s="45">
        <v>1056</v>
      </c>
      <c r="B70" s="47" t="s">
        <v>69</v>
      </c>
      <c r="C70" s="47">
        <v>2008</v>
      </c>
      <c r="D70" s="47" t="s">
        <v>38</v>
      </c>
      <c r="E70" s="46" t="s">
        <v>22</v>
      </c>
      <c r="F70" s="46">
        <v>4</v>
      </c>
      <c r="G70" s="48">
        <f>12*4217</f>
        <v>50604</v>
      </c>
      <c r="H70" s="46" t="s">
        <v>332</v>
      </c>
      <c r="I70" s="46">
        <v>1</v>
      </c>
      <c r="J70" s="46">
        <v>2</v>
      </c>
      <c r="K70" s="49" t="s">
        <v>90</v>
      </c>
      <c r="L70" s="49" t="s">
        <v>30</v>
      </c>
      <c r="M70" s="49" t="s">
        <v>29</v>
      </c>
      <c r="N70" s="49" t="s">
        <v>513</v>
      </c>
      <c r="O70" s="49"/>
      <c r="P70" s="49" t="s">
        <v>31</v>
      </c>
      <c r="Q70" s="49" t="s">
        <v>29</v>
      </c>
      <c r="R70" s="49">
        <v>1</v>
      </c>
      <c r="S70" s="50">
        <f t="shared" si="30"/>
        <v>50</v>
      </c>
      <c r="T70" s="49">
        <v>0</v>
      </c>
      <c r="U70" s="50">
        <f t="shared" si="31"/>
        <v>0</v>
      </c>
      <c r="V70" s="45"/>
      <c r="W70" s="49">
        <v>0</v>
      </c>
      <c r="X70" s="50">
        <f t="shared" si="32"/>
        <v>0</v>
      </c>
      <c r="Y70" s="51" t="str">
        <f t="shared" si="33"/>
        <v>No</v>
      </c>
      <c r="Z70" s="49" t="s">
        <v>29</v>
      </c>
      <c r="AA70" s="49" t="s">
        <v>29</v>
      </c>
      <c r="AB70" s="49" t="s">
        <v>29</v>
      </c>
      <c r="AC70" s="46" t="s">
        <v>26</v>
      </c>
      <c r="AD70" s="46" t="s">
        <v>27</v>
      </c>
      <c r="AE70" s="46" t="s">
        <v>89</v>
      </c>
      <c r="AF70" s="46" t="s">
        <v>29</v>
      </c>
      <c r="AG70" s="103"/>
      <c r="AH70" s="52">
        <v>56170</v>
      </c>
      <c r="AI70" s="52">
        <v>56170</v>
      </c>
      <c r="AJ70" s="102">
        <v>60.9</v>
      </c>
      <c r="AK70" s="104">
        <v>121.8</v>
      </c>
      <c r="AL70" s="102">
        <v>60.9</v>
      </c>
      <c r="AM70" s="102"/>
      <c r="AN70" s="53">
        <f t="shared" si="34"/>
        <v>121.8</v>
      </c>
      <c r="AO70" s="53">
        <v>35.94</v>
      </c>
      <c r="AP70" s="102"/>
      <c r="AQ70" s="102"/>
      <c r="AR70" s="102"/>
      <c r="AS70" s="102"/>
      <c r="AT70" s="102"/>
      <c r="AU70" s="102"/>
      <c r="AV70" s="102"/>
      <c r="AW70" s="102"/>
      <c r="AX70" s="102"/>
      <c r="AY70" s="102"/>
      <c r="AZ70" s="102"/>
      <c r="BA70" s="102"/>
      <c r="BB70" s="102"/>
      <c r="BC70" s="102"/>
      <c r="BD70" s="102"/>
      <c r="BE70" s="102"/>
      <c r="BF70" s="102"/>
      <c r="BG70" s="102"/>
      <c r="BH70" s="102"/>
      <c r="BI70" s="102"/>
      <c r="BJ70" s="102"/>
      <c r="BK70" s="102"/>
      <c r="BL70" s="102"/>
      <c r="BM70" s="102"/>
      <c r="BN70" s="102"/>
      <c r="BO70" s="102"/>
      <c r="BP70" s="102"/>
      <c r="BQ70" s="102"/>
      <c r="BR70" s="102"/>
      <c r="BS70" s="54" t="s">
        <v>23</v>
      </c>
      <c r="BT70" s="45" t="str">
        <f t="shared" si="35"/>
        <v>Yes</v>
      </c>
      <c r="BU70" s="45" t="str">
        <f t="shared" si="36"/>
        <v>No</v>
      </c>
      <c r="BV70" s="45" t="str">
        <f t="shared" si="37"/>
        <v>No</v>
      </c>
      <c r="BW70" s="55">
        <f t="shared" si="29"/>
        <v>94.962486602357984</v>
      </c>
      <c r="BX70" s="55">
        <f>(61134/(61134+3243))*100</f>
        <v>94.962486602357984</v>
      </c>
      <c r="BY70" s="55">
        <v>91.327486602357993</v>
      </c>
      <c r="BZ70" s="55">
        <f>BX70-(0.0727*100/2)</f>
        <v>91.327486602357979</v>
      </c>
      <c r="CA70" s="45">
        <v>2008</v>
      </c>
      <c r="CB70" s="55">
        <f t="shared" si="38"/>
        <v>67.418832143071469</v>
      </c>
      <c r="CC70" s="46" t="s">
        <v>951</v>
      </c>
      <c r="CD70" s="46" t="s">
        <v>952</v>
      </c>
      <c r="CE70" s="46" t="s">
        <v>950</v>
      </c>
      <c r="CF70" s="46">
        <v>2</v>
      </c>
      <c r="CG70" s="46" t="str">
        <f t="shared" si="39"/>
        <v>No</v>
      </c>
      <c r="CH70" s="46" t="s">
        <v>29</v>
      </c>
      <c r="CI70" s="56">
        <v>150</v>
      </c>
      <c r="CJ70" s="46">
        <v>20</v>
      </c>
      <c r="CK70" s="46">
        <v>150</v>
      </c>
      <c r="CL70" s="49" t="s">
        <v>29</v>
      </c>
      <c r="CM70" s="50">
        <v>0</v>
      </c>
      <c r="CN70" s="50">
        <v>129999.111</v>
      </c>
      <c r="CO70" s="50" t="s">
        <v>35</v>
      </c>
      <c r="CP70" s="46" t="s">
        <v>23</v>
      </c>
      <c r="CQ70" s="46" t="s">
        <v>23</v>
      </c>
      <c r="CR70" s="46">
        <v>9</v>
      </c>
      <c r="CS70" s="46" t="s">
        <v>854</v>
      </c>
      <c r="CT70" s="46" t="s">
        <v>53</v>
      </c>
      <c r="CU70" s="46" t="s">
        <v>74</v>
      </c>
      <c r="CV70" s="46">
        <v>1</v>
      </c>
      <c r="CW70" s="46" t="s">
        <v>23</v>
      </c>
      <c r="CX70" s="49" t="s">
        <v>744</v>
      </c>
      <c r="CY70" s="49" t="s">
        <v>36</v>
      </c>
      <c r="CZ70" s="49">
        <v>0</v>
      </c>
      <c r="DA70" s="49">
        <v>1</v>
      </c>
      <c r="DB70" s="64">
        <v>83315</v>
      </c>
      <c r="DC70" s="58">
        <v>59.309999999999995</v>
      </c>
      <c r="DD70" s="58">
        <v>9.9500000000000011</v>
      </c>
      <c r="DE70" s="58">
        <v>8.35</v>
      </c>
      <c r="DF70" s="58">
        <v>18.8</v>
      </c>
      <c r="DG70" s="58">
        <v>3.5900000000000043</v>
      </c>
      <c r="DH70" s="58">
        <v>40.690000000000005</v>
      </c>
      <c r="DI70" s="45" t="s">
        <v>29</v>
      </c>
      <c r="DJ70" s="59" t="str">
        <f t="shared" si="40"/>
        <v>N/A</v>
      </c>
      <c r="DK70" s="65">
        <v>83315</v>
      </c>
      <c r="DL70" s="58">
        <v>59.309999999999995</v>
      </c>
      <c r="DM70" s="58">
        <v>9.9500000000000011</v>
      </c>
      <c r="DN70" s="58">
        <v>8.35</v>
      </c>
      <c r="DO70" s="58">
        <v>40.690000000000005</v>
      </c>
      <c r="DP70" s="66">
        <v>52.1</v>
      </c>
      <c r="DQ70" s="67">
        <v>63638.49</v>
      </c>
      <c r="DR70" s="53">
        <v>18.899999999999999</v>
      </c>
      <c r="DS70" s="58">
        <v>68.2</v>
      </c>
      <c r="DT70" s="53">
        <v>43.3</v>
      </c>
      <c r="DU70" s="55">
        <v>2.25</v>
      </c>
      <c r="DV70" s="50">
        <v>31.6</v>
      </c>
      <c r="DW70" s="53">
        <v>94.1</v>
      </c>
      <c r="DX70" s="53">
        <v>85.65</v>
      </c>
      <c r="DY70" s="53">
        <v>60.400799999999997</v>
      </c>
      <c r="DZ70" s="63"/>
    </row>
    <row r="71" spans="1:130" s="5" customFormat="1" ht="14.25" hidden="1" customHeight="1">
      <c r="A71" s="45">
        <v>1051</v>
      </c>
      <c r="B71" s="47" t="s">
        <v>69</v>
      </c>
      <c r="C71" s="47">
        <v>2010</v>
      </c>
      <c r="D71" s="47" t="s">
        <v>70</v>
      </c>
      <c r="E71" s="46" t="s">
        <v>22</v>
      </c>
      <c r="F71" s="46">
        <v>4</v>
      </c>
      <c r="G71" s="48">
        <v>146992</v>
      </c>
      <c r="H71" s="46" t="s">
        <v>249</v>
      </c>
      <c r="I71" s="46">
        <v>1</v>
      </c>
      <c r="J71" s="46">
        <v>1</v>
      </c>
      <c r="K71" s="49" t="s">
        <v>75</v>
      </c>
      <c r="L71" s="49" t="s">
        <v>40</v>
      </c>
      <c r="M71" s="49" t="s">
        <v>35</v>
      </c>
      <c r="N71" s="49" t="s">
        <v>513</v>
      </c>
      <c r="O71" s="49"/>
      <c r="P71" s="49" t="s">
        <v>31</v>
      </c>
      <c r="Q71" s="49" t="s">
        <v>29</v>
      </c>
      <c r="R71" s="49">
        <v>1</v>
      </c>
      <c r="S71" s="50">
        <f t="shared" si="30"/>
        <v>100</v>
      </c>
      <c r="T71" s="49">
        <v>0</v>
      </c>
      <c r="U71" s="50">
        <f t="shared" si="31"/>
        <v>0</v>
      </c>
      <c r="V71" s="45"/>
      <c r="W71" s="49">
        <v>0</v>
      </c>
      <c r="X71" s="50">
        <f t="shared" si="32"/>
        <v>0</v>
      </c>
      <c r="Y71" s="51" t="str">
        <f t="shared" si="33"/>
        <v>No</v>
      </c>
      <c r="Z71" s="49" t="s">
        <v>29</v>
      </c>
      <c r="AA71" s="49" t="s">
        <v>29</v>
      </c>
      <c r="AB71" s="45" t="s">
        <v>35</v>
      </c>
      <c r="AC71" s="46" t="s">
        <v>72</v>
      </c>
      <c r="AD71" s="46" t="s">
        <v>27</v>
      </c>
      <c r="AE71" s="46" t="s">
        <v>73</v>
      </c>
      <c r="AF71" s="46" t="s">
        <v>29</v>
      </c>
      <c r="AG71" s="103">
        <v>45986</v>
      </c>
      <c r="AH71" s="52">
        <v>31708</v>
      </c>
      <c r="AI71" s="52">
        <v>31708</v>
      </c>
      <c r="AJ71" s="102">
        <v>97.85</v>
      </c>
      <c r="AK71" s="104">
        <v>195.7</v>
      </c>
      <c r="AL71" s="102">
        <v>97.85</v>
      </c>
      <c r="AM71" s="102" t="s">
        <v>23</v>
      </c>
      <c r="AN71" s="53">
        <f t="shared" si="34"/>
        <v>195.7</v>
      </c>
      <c r="AO71" s="53" t="s">
        <v>23</v>
      </c>
      <c r="AP71" s="102">
        <v>13819</v>
      </c>
      <c r="AQ71" s="102">
        <v>30.050450136998219</v>
      </c>
      <c r="AR71" s="102">
        <v>40</v>
      </c>
      <c r="AS71" s="102">
        <v>0.1</v>
      </c>
      <c r="AT71" s="102"/>
      <c r="AU71" s="102"/>
      <c r="AV71" s="102"/>
      <c r="AW71" s="102"/>
      <c r="AX71" s="102">
        <v>9012</v>
      </c>
      <c r="AY71" s="102">
        <v>28</v>
      </c>
      <c r="AZ71" s="102">
        <v>7720</v>
      </c>
      <c r="BA71" s="102">
        <v>24</v>
      </c>
      <c r="BB71" s="102">
        <v>1292</v>
      </c>
      <c r="BC71" s="102">
        <v>4</v>
      </c>
      <c r="BD71" s="102">
        <v>498</v>
      </c>
      <c r="BE71" s="102">
        <v>1.5</v>
      </c>
      <c r="BF71" s="102">
        <v>9472</v>
      </c>
      <c r="BG71" s="102">
        <v>29.4</v>
      </c>
      <c r="BH71" s="102"/>
      <c r="BI71" s="102"/>
      <c r="BJ71" s="102"/>
      <c r="BK71" s="102"/>
      <c r="BL71" s="102"/>
      <c r="BM71" s="102"/>
      <c r="BN71" s="102"/>
      <c r="BO71" s="102"/>
      <c r="BP71" s="102"/>
      <c r="BQ71" s="102"/>
      <c r="BR71" s="102" t="s">
        <v>967</v>
      </c>
      <c r="BS71" s="54" t="s">
        <v>23</v>
      </c>
      <c r="BT71" s="45" t="str">
        <f t="shared" si="35"/>
        <v>No</v>
      </c>
      <c r="BU71" s="45" t="str">
        <f t="shared" si="36"/>
        <v>No</v>
      </c>
      <c r="BV71" s="45" t="str">
        <f t="shared" si="37"/>
        <v>No</v>
      </c>
      <c r="BW71" s="55">
        <f t="shared" si="29"/>
        <v>94.962486602357984</v>
      </c>
      <c r="BX71" s="55">
        <f>(61134/(61134+3243))*100</f>
        <v>94.962486602357984</v>
      </c>
      <c r="BY71" s="55">
        <v>91.327486602357993</v>
      </c>
      <c r="BZ71" s="55">
        <f>BX71-(0.0727*100/2)</f>
        <v>91.327486602357979</v>
      </c>
      <c r="CA71" s="45">
        <v>2008</v>
      </c>
      <c r="CB71" s="55">
        <f t="shared" si="38"/>
        <v>37.562044660309184</v>
      </c>
      <c r="CC71" s="46" t="s">
        <v>490</v>
      </c>
      <c r="CD71" s="46" t="s">
        <v>71</v>
      </c>
      <c r="CE71" s="46" t="s">
        <v>783</v>
      </c>
      <c r="CF71" s="46">
        <v>1</v>
      </c>
      <c r="CG71" s="46" t="str">
        <f t="shared" si="39"/>
        <v>No</v>
      </c>
      <c r="CH71" s="46" t="s">
        <v>29</v>
      </c>
      <c r="CI71" s="56">
        <v>150</v>
      </c>
      <c r="CJ71" s="46">
        <v>20</v>
      </c>
      <c r="CK71" s="46">
        <v>150</v>
      </c>
      <c r="CL71" s="49" t="s">
        <v>29</v>
      </c>
      <c r="CM71" s="50">
        <v>0</v>
      </c>
      <c r="CN71" s="50"/>
      <c r="CO71" s="50"/>
      <c r="CP71" s="46" t="s">
        <v>23</v>
      </c>
      <c r="CQ71" s="46" t="s">
        <v>23</v>
      </c>
      <c r="CR71" s="46">
        <v>9</v>
      </c>
      <c r="CS71" s="46" t="s">
        <v>854</v>
      </c>
      <c r="CT71" s="46" t="s">
        <v>53</v>
      </c>
      <c r="CU71" s="46" t="s">
        <v>74</v>
      </c>
      <c r="CV71" s="46">
        <v>0</v>
      </c>
      <c r="CW71" s="46">
        <v>1</v>
      </c>
      <c r="CX71" s="49" t="s">
        <v>745</v>
      </c>
      <c r="CY71" s="49" t="s">
        <v>36</v>
      </c>
      <c r="CZ71" s="49">
        <v>0</v>
      </c>
      <c r="DA71" s="49">
        <v>1</v>
      </c>
      <c r="DB71" s="64">
        <v>84415</v>
      </c>
      <c r="DC71" s="58">
        <v>61.07</v>
      </c>
      <c r="DD71" s="58">
        <v>9.26</v>
      </c>
      <c r="DE71" s="58">
        <v>8.4599999999999991</v>
      </c>
      <c r="DF71" s="58">
        <v>17.43</v>
      </c>
      <c r="DG71" s="58">
        <v>3.7799999999999945</v>
      </c>
      <c r="DH71" s="58">
        <v>38.93</v>
      </c>
      <c r="DI71" s="45" t="s">
        <v>29</v>
      </c>
      <c r="DJ71" s="59" t="str">
        <f t="shared" si="40"/>
        <v>N/A</v>
      </c>
      <c r="DK71" s="65">
        <v>84415</v>
      </c>
      <c r="DL71" s="58">
        <v>61.07</v>
      </c>
      <c r="DM71" s="58">
        <v>9.26</v>
      </c>
      <c r="DN71" s="58">
        <v>8.4599999999999991</v>
      </c>
      <c r="DO71" s="58">
        <v>38.93</v>
      </c>
      <c r="DP71" s="66">
        <v>52.25</v>
      </c>
      <c r="DQ71" s="67">
        <v>65480</v>
      </c>
      <c r="DR71" s="53">
        <v>18.100000000000001</v>
      </c>
      <c r="DS71" s="58">
        <v>69.099999999999994</v>
      </c>
      <c r="DT71" s="53">
        <v>42.7</v>
      </c>
      <c r="DU71" s="55">
        <v>2.2599999999999998</v>
      </c>
      <c r="DV71" s="50">
        <v>31.7</v>
      </c>
      <c r="DW71" s="53">
        <v>95</v>
      </c>
      <c r="DX71" s="53">
        <v>90.06</v>
      </c>
      <c r="DY71" s="53">
        <v>57.935499999999998</v>
      </c>
      <c r="DZ71" s="63"/>
    </row>
    <row r="72" spans="1:130" s="5" customFormat="1" ht="14.25" hidden="1" customHeight="1">
      <c r="A72" s="45">
        <v>1052</v>
      </c>
      <c r="B72" s="47" t="s">
        <v>69</v>
      </c>
      <c r="C72" s="47">
        <v>2010</v>
      </c>
      <c r="D72" s="47" t="s">
        <v>76</v>
      </c>
      <c r="E72" s="46" t="s">
        <v>77</v>
      </c>
      <c r="F72" s="46">
        <v>4</v>
      </c>
      <c r="G72" s="48">
        <v>30000</v>
      </c>
      <c r="H72" s="46" t="s">
        <v>332</v>
      </c>
      <c r="I72" s="46">
        <v>1</v>
      </c>
      <c r="J72" s="46">
        <v>4</v>
      </c>
      <c r="K72" s="49" t="s">
        <v>78</v>
      </c>
      <c r="L72" s="49" t="s">
        <v>40</v>
      </c>
      <c r="M72" s="49" t="s">
        <v>35</v>
      </c>
      <c r="N72" s="49" t="s">
        <v>513</v>
      </c>
      <c r="O72" s="49"/>
      <c r="P72" s="49" t="s">
        <v>31</v>
      </c>
      <c r="Q72" s="49" t="s">
        <v>29</v>
      </c>
      <c r="R72" s="49">
        <v>2</v>
      </c>
      <c r="S72" s="50">
        <f t="shared" si="30"/>
        <v>50</v>
      </c>
      <c r="T72" s="49">
        <v>0</v>
      </c>
      <c r="U72" s="50">
        <f t="shared" si="31"/>
        <v>0</v>
      </c>
      <c r="V72" s="45"/>
      <c r="W72" s="49">
        <v>0</v>
      </c>
      <c r="X72" s="50">
        <f t="shared" si="32"/>
        <v>0</v>
      </c>
      <c r="Y72" s="51" t="str">
        <f t="shared" si="33"/>
        <v>No</v>
      </c>
      <c r="Z72" s="49" t="s">
        <v>29</v>
      </c>
      <c r="AA72" s="49" t="s">
        <v>29</v>
      </c>
      <c r="AB72" s="45" t="s">
        <v>35</v>
      </c>
      <c r="AC72" s="46" t="s">
        <v>72</v>
      </c>
      <c r="AD72" s="46" t="s">
        <v>27</v>
      </c>
      <c r="AE72" s="46" t="s">
        <v>73</v>
      </c>
      <c r="AF72" s="46" t="s">
        <v>29</v>
      </c>
      <c r="AG72" s="103">
        <v>6426</v>
      </c>
      <c r="AH72" s="52">
        <v>5685</v>
      </c>
      <c r="AI72" s="52">
        <v>5685</v>
      </c>
      <c r="AJ72" s="102">
        <v>65.56</v>
      </c>
      <c r="AK72" s="104">
        <v>131.12</v>
      </c>
      <c r="AL72" s="102">
        <v>65.56</v>
      </c>
      <c r="AM72" s="102">
        <v>71.099999999999994</v>
      </c>
      <c r="AN72" s="53">
        <f t="shared" si="34"/>
        <v>131.12</v>
      </c>
      <c r="AO72" s="53">
        <v>22.41</v>
      </c>
      <c r="AP72" s="102">
        <v>719</v>
      </c>
      <c r="AQ72" s="102">
        <v>11.188920012449424</v>
      </c>
      <c r="AR72" s="102">
        <v>24</v>
      </c>
      <c r="AS72" s="102">
        <v>0.4</v>
      </c>
      <c r="AT72" s="102"/>
      <c r="AU72" s="102"/>
      <c r="AV72" s="102"/>
      <c r="AW72" s="102"/>
      <c r="AX72" s="102">
        <v>518</v>
      </c>
      <c r="AY72" s="102">
        <v>9.1</v>
      </c>
      <c r="AZ72" s="102">
        <v>327</v>
      </c>
      <c r="BA72" s="102">
        <v>5.7</v>
      </c>
      <c r="BB72" s="102">
        <v>191</v>
      </c>
      <c r="BC72" s="102">
        <v>3.3</v>
      </c>
      <c r="BD72" s="102">
        <v>36</v>
      </c>
      <c r="BE72" s="102">
        <v>0.6</v>
      </c>
      <c r="BF72" s="102">
        <v>566</v>
      </c>
      <c r="BG72" s="102">
        <v>9.9</v>
      </c>
      <c r="BH72" s="102"/>
      <c r="BI72" s="102"/>
      <c r="BJ72" s="102"/>
      <c r="BK72" s="102"/>
      <c r="BL72" s="102"/>
      <c r="BM72" s="102"/>
      <c r="BN72" s="102"/>
      <c r="BO72" s="102"/>
      <c r="BP72" s="102"/>
      <c r="BQ72" s="102"/>
      <c r="BR72" s="102" t="s">
        <v>967</v>
      </c>
      <c r="BS72" s="54" t="s">
        <v>29</v>
      </c>
      <c r="BT72" s="45" t="str">
        <f t="shared" si="35"/>
        <v>No</v>
      </c>
      <c r="BU72" s="45" t="str">
        <f t="shared" si="36"/>
        <v>No</v>
      </c>
      <c r="BV72" s="45" t="str">
        <f t="shared" si="37"/>
        <v>No</v>
      </c>
      <c r="BW72" s="55">
        <f t="shared" si="29"/>
        <v>94.962486602357984</v>
      </c>
      <c r="BX72" s="55"/>
      <c r="BY72" s="55">
        <v>91.327486602357993</v>
      </c>
      <c r="BZ72" s="55"/>
      <c r="CA72" s="45">
        <v>2008</v>
      </c>
      <c r="CB72" s="55">
        <f t="shared" si="38"/>
        <v>59.791754312158183</v>
      </c>
      <c r="CC72" s="46" t="s">
        <v>490</v>
      </c>
      <c r="CD72" s="46" t="s">
        <v>71</v>
      </c>
      <c r="CE72" s="46" t="s">
        <v>783</v>
      </c>
      <c r="CF72" s="46">
        <v>1</v>
      </c>
      <c r="CG72" s="46" t="str">
        <f t="shared" si="39"/>
        <v>No</v>
      </c>
      <c r="CH72" s="46" t="s">
        <v>29</v>
      </c>
      <c r="CI72" s="56">
        <v>150</v>
      </c>
      <c r="CJ72" s="46">
        <v>20</v>
      </c>
      <c r="CK72" s="46">
        <v>150</v>
      </c>
      <c r="CL72" s="49" t="s">
        <v>29</v>
      </c>
      <c r="CM72" s="50">
        <v>0</v>
      </c>
      <c r="CN72" s="50"/>
      <c r="CO72" s="50"/>
      <c r="CP72" s="46" t="s">
        <v>23</v>
      </c>
      <c r="CQ72" s="46" t="s">
        <v>24</v>
      </c>
      <c r="CR72" s="46">
        <v>9</v>
      </c>
      <c r="CS72" s="46" t="s">
        <v>854</v>
      </c>
      <c r="CT72" s="46" t="s">
        <v>856</v>
      </c>
      <c r="CU72" s="46" t="s">
        <v>74</v>
      </c>
      <c r="CV72" s="46">
        <v>0</v>
      </c>
      <c r="CW72" s="46">
        <v>1</v>
      </c>
      <c r="CX72" s="49" t="s">
        <v>745</v>
      </c>
      <c r="CY72" s="49" t="s">
        <v>36</v>
      </c>
      <c r="CZ72" s="49">
        <v>0</v>
      </c>
      <c r="DA72" s="49">
        <v>1</v>
      </c>
      <c r="DB72" s="64">
        <v>9508</v>
      </c>
      <c r="DC72" s="58">
        <v>61.319999999999993</v>
      </c>
      <c r="DD72" s="58">
        <v>10.43</v>
      </c>
      <c r="DE72" s="58">
        <v>10.74</v>
      </c>
      <c r="DF72" s="58">
        <v>13.56</v>
      </c>
      <c r="DG72" s="58">
        <v>3.9650820361800587</v>
      </c>
      <c r="DH72" s="58">
        <v>38.680000000000007</v>
      </c>
      <c r="DI72" s="45" t="s">
        <v>29</v>
      </c>
      <c r="DJ72" s="59" t="str">
        <f t="shared" si="40"/>
        <v>N/A</v>
      </c>
      <c r="DK72" s="65">
        <v>9508</v>
      </c>
      <c r="DL72" s="58">
        <v>61.319999999999993</v>
      </c>
      <c r="DM72" s="58">
        <v>10.43</v>
      </c>
      <c r="DN72" s="58">
        <v>10.74</v>
      </c>
      <c r="DO72" s="58">
        <v>38.680000000000007</v>
      </c>
      <c r="DP72" s="66">
        <v>52.25</v>
      </c>
      <c r="DQ72" s="67">
        <v>65480</v>
      </c>
      <c r="DR72" s="53">
        <v>18.100000000000001</v>
      </c>
      <c r="DS72" s="58">
        <v>69.099999999999994</v>
      </c>
      <c r="DT72" s="53">
        <v>42.7</v>
      </c>
      <c r="DU72" s="55">
        <v>2.2599999999999998</v>
      </c>
      <c r="DV72" s="50">
        <v>31.7</v>
      </c>
      <c r="DW72" s="53">
        <v>95</v>
      </c>
      <c r="DX72" s="53">
        <v>90.06</v>
      </c>
      <c r="DY72" s="53">
        <v>57.935499999999998</v>
      </c>
      <c r="DZ72" s="63"/>
    </row>
    <row r="73" spans="1:130" s="5" customFormat="1" ht="14.25" hidden="1" customHeight="1">
      <c r="A73" s="45">
        <v>1053</v>
      </c>
      <c r="B73" s="47" t="s">
        <v>69</v>
      </c>
      <c r="C73" s="47">
        <v>2010</v>
      </c>
      <c r="D73" s="47" t="s">
        <v>79</v>
      </c>
      <c r="E73" s="71" t="s">
        <v>80</v>
      </c>
      <c r="F73" s="46">
        <v>4</v>
      </c>
      <c r="G73" s="48">
        <v>30000</v>
      </c>
      <c r="H73" s="46" t="s">
        <v>332</v>
      </c>
      <c r="I73" s="46">
        <v>1</v>
      </c>
      <c r="J73" s="46">
        <v>4</v>
      </c>
      <c r="K73" s="49" t="s">
        <v>81</v>
      </c>
      <c r="L73" s="49" t="s">
        <v>30</v>
      </c>
      <c r="M73" s="49" t="s">
        <v>29</v>
      </c>
      <c r="N73" s="49" t="s">
        <v>513</v>
      </c>
      <c r="O73" s="49"/>
      <c r="P73" s="49" t="s">
        <v>857</v>
      </c>
      <c r="Q73" s="49" t="s">
        <v>35</v>
      </c>
      <c r="R73" s="49">
        <v>0</v>
      </c>
      <c r="S73" s="50">
        <f t="shared" si="30"/>
        <v>0</v>
      </c>
      <c r="T73" s="49">
        <v>1</v>
      </c>
      <c r="U73" s="50">
        <f t="shared" si="31"/>
        <v>25</v>
      </c>
      <c r="V73" s="49" t="s">
        <v>789</v>
      </c>
      <c r="W73" s="49">
        <v>0</v>
      </c>
      <c r="X73" s="50">
        <f t="shared" si="32"/>
        <v>0</v>
      </c>
      <c r="Y73" s="51" t="str">
        <f t="shared" si="33"/>
        <v>No</v>
      </c>
      <c r="Z73" s="49" t="s">
        <v>29</v>
      </c>
      <c r="AA73" s="49" t="s">
        <v>35</v>
      </c>
      <c r="AB73" s="49" t="s">
        <v>29</v>
      </c>
      <c r="AC73" s="46" t="s">
        <v>72</v>
      </c>
      <c r="AD73" s="46" t="s">
        <v>27</v>
      </c>
      <c r="AE73" s="46" t="s">
        <v>73</v>
      </c>
      <c r="AF73" s="46" t="s">
        <v>29</v>
      </c>
      <c r="AG73" s="103">
        <v>5708</v>
      </c>
      <c r="AH73" s="52">
        <v>4740</v>
      </c>
      <c r="AI73" s="52">
        <v>4740</v>
      </c>
      <c r="AJ73" s="102">
        <v>53.52</v>
      </c>
      <c r="AK73" s="104">
        <v>107.04</v>
      </c>
      <c r="AL73" s="102">
        <v>53.52</v>
      </c>
      <c r="AM73" s="102">
        <v>61.1</v>
      </c>
      <c r="AN73" s="53">
        <f t="shared" si="34"/>
        <v>107.04</v>
      </c>
      <c r="AO73" s="53">
        <v>31.41</v>
      </c>
      <c r="AP73" s="102">
        <v>940</v>
      </c>
      <c r="AQ73" s="102">
        <v>16.468114926419062</v>
      </c>
      <c r="AR73" s="102">
        <v>22</v>
      </c>
      <c r="AS73" s="102">
        <v>0.5</v>
      </c>
      <c r="AT73" s="102"/>
      <c r="AU73" s="102"/>
      <c r="AV73" s="102"/>
      <c r="AW73" s="102"/>
      <c r="AX73" s="102">
        <v>341</v>
      </c>
      <c r="AY73" s="102">
        <v>7.2</v>
      </c>
      <c r="AZ73" s="102">
        <v>200</v>
      </c>
      <c r="BA73" s="102">
        <v>4.2</v>
      </c>
      <c r="BB73" s="102">
        <v>141</v>
      </c>
      <c r="BC73" s="102">
        <v>3</v>
      </c>
      <c r="BD73" s="102">
        <v>38</v>
      </c>
      <c r="BE73" s="102">
        <v>0.8</v>
      </c>
      <c r="BF73" s="102">
        <v>385</v>
      </c>
      <c r="BG73" s="102">
        <v>8.1</v>
      </c>
      <c r="BH73" s="102"/>
      <c r="BI73" s="102"/>
      <c r="BJ73" s="102"/>
      <c r="BK73" s="102"/>
      <c r="BL73" s="102"/>
      <c r="BM73" s="102"/>
      <c r="BN73" s="102"/>
      <c r="BO73" s="102"/>
      <c r="BP73" s="102"/>
      <c r="BQ73" s="102"/>
      <c r="BR73" s="102" t="s">
        <v>967</v>
      </c>
      <c r="BS73" s="54" t="s">
        <v>29</v>
      </c>
      <c r="BT73" s="45" t="str">
        <f t="shared" si="35"/>
        <v>Yes</v>
      </c>
      <c r="BU73" s="45" t="str">
        <f t="shared" si="36"/>
        <v>No</v>
      </c>
      <c r="BV73" s="45" t="str">
        <f t="shared" si="37"/>
        <v>No</v>
      </c>
      <c r="BW73" s="55">
        <f t="shared" si="29"/>
        <v>94.962486602357984</v>
      </c>
      <c r="BX73" s="55"/>
      <c r="BY73" s="55">
        <v>91.327486602357993</v>
      </c>
      <c r="BZ73" s="55"/>
      <c r="CA73" s="45">
        <v>2008</v>
      </c>
      <c r="CB73" s="55">
        <f t="shared" si="38"/>
        <v>41.238907255959631</v>
      </c>
      <c r="CC73" s="46" t="s">
        <v>490</v>
      </c>
      <c r="CD73" s="46" t="s">
        <v>71</v>
      </c>
      <c r="CE73" s="46" t="s">
        <v>783</v>
      </c>
      <c r="CF73" s="46">
        <v>1</v>
      </c>
      <c r="CG73" s="46" t="str">
        <f t="shared" si="39"/>
        <v>No</v>
      </c>
      <c r="CH73" s="46" t="s">
        <v>29</v>
      </c>
      <c r="CI73" s="56">
        <v>150</v>
      </c>
      <c r="CJ73" s="46">
        <v>20</v>
      </c>
      <c r="CK73" s="46">
        <v>150</v>
      </c>
      <c r="CL73" s="49" t="s">
        <v>29</v>
      </c>
      <c r="CM73" s="50">
        <v>0</v>
      </c>
      <c r="CN73" s="50"/>
      <c r="CO73" s="50"/>
      <c r="CP73" s="46" t="s">
        <v>23</v>
      </c>
      <c r="CQ73" s="46" t="s">
        <v>24</v>
      </c>
      <c r="CR73" s="46">
        <v>9</v>
      </c>
      <c r="CS73" s="46" t="s">
        <v>854</v>
      </c>
      <c r="CT73" s="46" t="s">
        <v>856</v>
      </c>
      <c r="CU73" s="46" t="s">
        <v>74</v>
      </c>
      <c r="CV73" s="46">
        <v>0</v>
      </c>
      <c r="CW73" s="46">
        <v>1</v>
      </c>
      <c r="CX73" s="49" t="s">
        <v>745</v>
      </c>
      <c r="CY73" s="49" t="s">
        <v>36</v>
      </c>
      <c r="CZ73" s="49">
        <v>0</v>
      </c>
      <c r="DA73" s="49">
        <v>1</v>
      </c>
      <c r="DB73" s="64">
        <v>11494</v>
      </c>
      <c r="DC73" s="58">
        <v>58.699999999999996</v>
      </c>
      <c r="DD73" s="58">
        <v>5.5100000000000007</v>
      </c>
      <c r="DE73" s="58">
        <v>6.36</v>
      </c>
      <c r="DF73" s="58">
        <v>26.13</v>
      </c>
      <c r="DG73" s="58">
        <v>3.3408734992169826</v>
      </c>
      <c r="DH73" s="58">
        <v>41.300000000000004</v>
      </c>
      <c r="DI73" s="45" t="s">
        <v>29</v>
      </c>
      <c r="DJ73" s="59" t="str">
        <f t="shared" si="40"/>
        <v>N/A</v>
      </c>
      <c r="DK73" s="65">
        <v>11494</v>
      </c>
      <c r="DL73" s="58">
        <v>58.699999999999996</v>
      </c>
      <c r="DM73" s="58">
        <v>5.5100000000000007</v>
      </c>
      <c r="DN73" s="58">
        <v>6.36</v>
      </c>
      <c r="DO73" s="58">
        <v>41.300000000000004</v>
      </c>
      <c r="DP73" s="66">
        <v>52.25</v>
      </c>
      <c r="DQ73" s="67">
        <v>65480</v>
      </c>
      <c r="DR73" s="53">
        <v>18.100000000000001</v>
      </c>
      <c r="DS73" s="58">
        <v>69.099999999999994</v>
      </c>
      <c r="DT73" s="53">
        <v>42.7</v>
      </c>
      <c r="DU73" s="55">
        <v>2.2599999999999998</v>
      </c>
      <c r="DV73" s="50">
        <v>31.7</v>
      </c>
      <c r="DW73" s="53">
        <v>95</v>
      </c>
      <c r="DX73" s="53">
        <v>90.06</v>
      </c>
      <c r="DY73" s="53">
        <v>57.935499999999998</v>
      </c>
      <c r="DZ73" s="63"/>
    </row>
    <row r="74" spans="1:130" s="5" customFormat="1" ht="14.25" hidden="1" customHeight="1">
      <c r="A74" s="45">
        <v>1054</v>
      </c>
      <c r="B74" s="46" t="s">
        <v>69</v>
      </c>
      <c r="C74" s="47">
        <v>2010</v>
      </c>
      <c r="D74" s="47" t="s">
        <v>82</v>
      </c>
      <c r="E74" s="46" t="s">
        <v>83</v>
      </c>
      <c r="F74" s="46">
        <v>4</v>
      </c>
      <c r="G74" s="48">
        <v>30000</v>
      </c>
      <c r="H74" s="46" t="s">
        <v>332</v>
      </c>
      <c r="I74" s="46">
        <v>1</v>
      </c>
      <c r="J74" s="46">
        <v>3</v>
      </c>
      <c r="K74" s="49" t="s">
        <v>84</v>
      </c>
      <c r="L74" s="49" t="s">
        <v>30</v>
      </c>
      <c r="M74" s="49" t="s">
        <v>29</v>
      </c>
      <c r="N74" s="49" t="s">
        <v>513</v>
      </c>
      <c r="O74" s="49"/>
      <c r="P74" s="49" t="s">
        <v>31</v>
      </c>
      <c r="Q74" s="49" t="s">
        <v>29</v>
      </c>
      <c r="R74" s="49">
        <v>1</v>
      </c>
      <c r="S74" s="50">
        <f t="shared" si="30"/>
        <v>33.333333333333329</v>
      </c>
      <c r="T74" s="49">
        <v>1</v>
      </c>
      <c r="U74" s="50">
        <f t="shared" si="31"/>
        <v>33.333333333333329</v>
      </c>
      <c r="V74" s="49" t="s">
        <v>173</v>
      </c>
      <c r="W74" s="49">
        <v>1</v>
      </c>
      <c r="X74" s="50">
        <f t="shared" si="32"/>
        <v>33.333333333333329</v>
      </c>
      <c r="Y74" s="51" t="str">
        <f t="shared" si="33"/>
        <v>No</v>
      </c>
      <c r="Z74" s="49" t="s">
        <v>29</v>
      </c>
      <c r="AA74" s="49" t="s">
        <v>29</v>
      </c>
      <c r="AB74" s="49" t="s">
        <v>29</v>
      </c>
      <c r="AC74" s="46" t="s">
        <v>103</v>
      </c>
      <c r="AD74" s="46" t="s">
        <v>27</v>
      </c>
      <c r="AE74" s="46" t="s">
        <v>73</v>
      </c>
      <c r="AF74" s="46" t="s">
        <v>29</v>
      </c>
      <c r="AG74" s="103">
        <v>4862</v>
      </c>
      <c r="AH74" s="52">
        <v>4177</v>
      </c>
      <c r="AI74" s="52">
        <v>4177</v>
      </c>
      <c r="AJ74" s="102">
        <v>49.72</v>
      </c>
      <c r="AK74" s="104">
        <v>99.44</v>
      </c>
      <c r="AL74" s="102">
        <v>50.06</v>
      </c>
      <c r="AM74" s="102">
        <v>58.9</v>
      </c>
      <c r="AN74" s="53">
        <f t="shared" si="34"/>
        <v>100.12</v>
      </c>
      <c r="AO74" s="53">
        <v>34.33</v>
      </c>
      <c r="AP74" s="102">
        <v>673</v>
      </c>
      <c r="AQ74" s="102">
        <v>13.842040312628548</v>
      </c>
      <c r="AR74" s="63">
        <v>5</v>
      </c>
      <c r="AS74" s="102">
        <f>AR74/AI74</f>
        <v>1.1970313622216902E-3</v>
      </c>
      <c r="AT74" s="102"/>
      <c r="AU74" s="102"/>
      <c r="AV74" s="102"/>
      <c r="AW74" s="102"/>
      <c r="AX74" s="102"/>
      <c r="AY74" s="102"/>
      <c r="AZ74" s="102"/>
      <c r="BA74" s="102"/>
      <c r="BB74" s="102"/>
      <c r="BC74" s="102"/>
      <c r="BD74" s="102"/>
      <c r="BE74" s="102"/>
      <c r="BF74" s="102"/>
      <c r="BG74" s="102"/>
      <c r="BH74" s="102">
        <v>17</v>
      </c>
      <c r="BI74" s="102">
        <v>0.40699066315537469</v>
      </c>
      <c r="BJ74" s="102"/>
      <c r="BK74" s="102"/>
      <c r="BL74" s="102"/>
      <c r="BM74" s="102"/>
      <c r="BN74" s="102"/>
      <c r="BO74" s="102"/>
      <c r="BP74" s="102"/>
      <c r="BQ74" s="102"/>
      <c r="BR74" s="102"/>
      <c r="BS74" s="54" t="s">
        <v>29</v>
      </c>
      <c r="BT74" s="45" t="str">
        <f t="shared" si="35"/>
        <v>Yes</v>
      </c>
      <c r="BU74" s="45" t="str">
        <f t="shared" si="36"/>
        <v>Yes</v>
      </c>
      <c r="BV74" s="45" t="str">
        <f t="shared" si="37"/>
        <v>No</v>
      </c>
      <c r="BW74" s="55">
        <f t="shared" si="29"/>
        <v>94.962486602357984</v>
      </c>
      <c r="BX74" s="55"/>
      <c r="BY74" s="55">
        <v>91.327486602357993</v>
      </c>
      <c r="BZ74" s="55"/>
      <c r="CA74" s="45">
        <v>2008</v>
      </c>
      <c r="CB74" s="55">
        <f t="shared" si="38"/>
        <v>35.097890933534998</v>
      </c>
      <c r="CC74" s="46" t="s">
        <v>490</v>
      </c>
      <c r="CD74" s="46" t="s">
        <v>71</v>
      </c>
      <c r="CE74" s="46" t="s">
        <v>783</v>
      </c>
      <c r="CF74" s="46">
        <v>1</v>
      </c>
      <c r="CG74" s="46" t="str">
        <f t="shared" si="39"/>
        <v>No</v>
      </c>
      <c r="CH74" s="46" t="s">
        <v>29</v>
      </c>
      <c r="CI74" s="56">
        <v>150</v>
      </c>
      <c r="CJ74" s="46">
        <v>20</v>
      </c>
      <c r="CK74" s="46">
        <v>150</v>
      </c>
      <c r="CL74" s="49" t="s">
        <v>29</v>
      </c>
      <c r="CM74" s="50">
        <v>0</v>
      </c>
      <c r="CN74" s="50"/>
      <c r="CO74" s="50"/>
      <c r="CP74" s="46" t="s">
        <v>23</v>
      </c>
      <c r="CQ74" s="46" t="s">
        <v>24</v>
      </c>
      <c r="CR74" s="46">
        <v>9</v>
      </c>
      <c r="CS74" s="46" t="s">
        <v>854</v>
      </c>
      <c r="CT74" s="46" t="s">
        <v>856</v>
      </c>
      <c r="CU74" s="46" t="s">
        <v>74</v>
      </c>
      <c r="CV74" s="46">
        <v>0</v>
      </c>
      <c r="CW74" s="46">
        <v>1</v>
      </c>
      <c r="CX74" s="49" t="s">
        <v>745</v>
      </c>
      <c r="CY74" s="49" t="s">
        <v>36</v>
      </c>
      <c r="CZ74" s="49">
        <v>0</v>
      </c>
      <c r="DA74" s="49">
        <v>1</v>
      </c>
      <c r="DB74" s="64">
        <v>11901</v>
      </c>
      <c r="DC74" s="58">
        <v>50.19</v>
      </c>
      <c r="DD74" s="58">
        <v>3.04</v>
      </c>
      <c r="DE74" s="58">
        <v>11.89</v>
      </c>
      <c r="DF74" s="58">
        <v>30.709999999999997</v>
      </c>
      <c r="DG74" s="58">
        <v>4.1845223090496599</v>
      </c>
      <c r="DH74" s="58">
        <v>49.81</v>
      </c>
      <c r="DI74" s="45" t="s">
        <v>29</v>
      </c>
      <c r="DJ74" s="59" t="str">
        <f t="shared" si="40"/>
        <v>N/A</v>
      </c>
      <c r="DK74" s="65">
        <v>11901</v>
      </c>
      <c r="DL74" s="58">
        <v>50.19</v>
      </c>
      <c r="DM74" s="58">
        <v>3.04</v>
      </c>
      <c r="DN74" s="58">
        <v>11.89</v>
      </c>
      <c r="DO74" s="58">
        <v>49.81</v>
      </c>
      <c r="DP74" s="66">
        <v>52.25</v>
      </c>
      <c r="DQ74" s="67">
        <v>65480</v>
      </c>
      <c r="DR74" s="53">
        <v>18.100000000000001</v>
      </c>
      <c r="DS74" s="58">
        <v>69.099999999999994</v>
      </c>
      <c r="DT74" s="53">
        <v>42.7</v>
      </c>
      <c r="DU74" s="55">
        <v>2.2599999999999998</v>
      </c>
      <c r="DV74" s="50">
        <v>31.7</v>
      </c>
      <c r="DW74" s="53">
        <v>95</v>
      </c>
      <c r="DX74" s="53">
        <v>90.06</v>
      </c>
      <c r="DY74" s="53">
        <v>57.935499999999998</v>
      </c>
      <c r="DZ74" s="63"/>
    </row>
    <row r="75" spans="1:130" s="5" customFormat="1" ht="14.25" hidden="1" customHeight="1">
      <c r="A75" s="45">
        <v>1055</v>
      </c>
      <c r="B75" s="47" t="s">
        <v>69</v>
      </c>
      <c r="C75" s="47">
        <v>2010</v>
      </c>
      <c r="D75" s="47" t="s">
        <v>85</v>
      </c>
      <c r="E75" s="71" t="s">
        <v>86</v>
      </c>
      <c r="F75" s="46">
        <v>4</v>
      </c>
      <c r="G75" s="48">
        <v>30000</v>
      </c>
      <c r="H75" s="46" t="s">
        <v>332</v>
      </c>
      <c r="I75" s="46">
        <v>1</v>
      </c>
      <c r="J75" s="46">
        <v>3</v>
      </c>
      <c r="K75" s="49" t="s">
        <v>104</v>
      </c>
      <c r="L75" s="49" t="s">
        <v>30</v>
      </c>
      <c r="M75" s="49" t="s">
        <v>29</v>
      </c>
      <c r="N75" s="49" t="s">
        <v>513</v>
      </c>
      <c r="O75" s="49"/>
      <c r="P75" s="49" t="s">
        <v>31</v>
      </c>
      <c r="Q75" s="49" t="s">
        <v>29</v>
      </c>
      <c r="R75" s="49">
        <v>1</v>
      </c>
      <c r="S75" s="50">
        <f t="shared" si="30"/>
        <v>33.333333333333329</v>
      </c>
      <c r="T75" s="49">
        <v>0</v>
      </c>
      <c r="U75" s="50">
        <f t="shared" si="31"/>
        <v>0</v>
      </c>
      <c r="V75" s="45"/>
      <c r="W75" s="49">
        <v>0</v>
      </c>
      <c r="X75" s="50">
        <f t="shared" si="32"/>
        <v>0</v>
      </c>
      <c r="Y75" s="51" t="str">
        <f t="shared" si="33"/>
        <v>No</v>
      </c>
      <c r="Z75" s="49" t="s">
        <v>29</v>
      </c>
      <c r="AA75" s="49" t="s">
        <v>29</v>
      </c>
      <c r="AB75" s="49" t="s">
        <v>29</v>
      </c>
      <c r="AC75" s="46" t="s">
        <v>72</v>
      </c>
      <c r="AD75" s="46" t="s">
        <v>27</v>
      </c>
      <c r="AE75" s="46" t="s">
        <v>73</v>
      </c>
      <c r="AF75" s="46" t="s">
        <v>29</v>
      </c>
      <c r="AG75" s="103">
        <v>5333</v>
      </c>
      <c r="AH75" s="52">
        <v>4593</v>
      </c>
      <c r="AI75" s="52">
        <v>4593</v>
      </c>
      <c r="AJ75" s="102">
        <v>61.03</v>
      </c>
      <c r="AK75" s="104">
        <v>122.06</v>
      </c>
      <c r="AL75" s="102">
        <v>61.03</v>
      </c>
      <c r="AM75" s="102">
        <v>69.7</v>
      </c>
      <c r="AN75" s="53">
        <f t="shared" si="34"/>
        <v>122.06</v>
      </c>
      <c r="AO75" s="53">
        <v>19.329999999999998</v>
      </c>
      <c r="AP75" s="102">
        <v>726</v>
      </c>
      <c r="AQ75" s="102">
        <v>13.613350834427152</v>
      </c>
      <c r="AR75" s="102">
        <v>6</v>
      </c>
      <c r="AS75" s="102">
        <f>AR75/AI75</f>
        <v>1.3063357282821686E-3</v>
      </c>
      <c r="AT75" s="102"/>
      <c r="AU75" s="102"/>
      <c r="AV75" s="102"/>
      <c r="AW75" s="102"/>
      <c r="AX75" s="102"/>
      <c r="AY75" s="102"/>
      <c r="AZ75" s="102"/>
      <c r="BA75" s="102"/>
      <c r="BB75" s="102"/>
      <c r="BC75" s="102"/>
      <c r="BD75" s="102"/>
      <c r="BE75" s="102"/>
      <c r="BF75" s="102"/>
      <c r="BG75" s="102"/>
      <c r="BH75" s="102"/>
      <c r="BI75" s="102"/>
      <c r="BJ75" s="102"/>
      <c r="BK75" s="102"/>
      <c r="BL75" s="102"/>
      <c r="BM75" s="102"/>
      <c r="BN75" s="102"/>
      <c r="BO75" s="102"/>
      <c r="BP75" s="102"/>
      <c r="BQ75" s="102"/>
      <c r="BR75" s="102"/>
      <c r="BS75" s="54" t="s">
        <v>29</v>
      </c>
      <c r="BT75" s="45" t="str">
        <f t="shared" si="35"/>
        <v>No</v>
      </c>
      <c r="BU75" s="45" t="str">
        <f t="shared" si="36"/>
        <v>No</v>
      </c>
      <c r="BV75" s="45" t="str">
        <f t="shared" si="37"/>
        <v>No</v>
      </c>
      <c r="BW75" s="55">
        <f t="shared" si="29"/>
        <v>94.962486602357984</v>
      </c>
      <c r="BX75" s="55"/>
      <c r="BY75" s="55">
        <v>91.327486602357993</v>
      </c>
      <c r="BZ75" s="55"/>
      <c r="CA75" s="45">
        <v>2008</v>
      </c>
      <c r="CB75" s="55">
        <f t="shared" si="38"/>
        <v>45.998998497746619</v>
      </c>
      <c r="CC75" s="46" t="s">
        <v>490</v>
      </c>
      <c r="CD75" s="46" t="s">
        <v>71</v>
      </c>
      <c r="CE75" s="46" t="s">
        <v>783</v>
      </c>
      <c r="CF75" s="46">
        <v>1</v>
      </c>
      <c r="CG75" s="46" t="str">
        <f t="shared" si="39"/>
        <v>No</v>
      </c>
      <c r="CH75" s="46" t="s">
        <v>29</v>
      </c>
      <c r="CI75" s="56">
        <v>150</v>
      </c>
      <c r="CJ75" s="46">
        <v>20</v>
      </c>
      <c r="CK75" s="46">
        <v>150</v>
      </c>
      <c r="CL75" s="49" t="s">
        <v>29</v>
      </c>
      <c r="CM75" s="50">
        <v>0</v>
      </c>
      <c r="CN75" s="50"/>
      <c r="CO75" s="50"/>
      <c r="CP75" s="46" t="s">
        <v>23</v>
      </c>
      <c r="CQ75" s="46" t="s">
        <v>24</v>
      </c>
      <c r="CR75" s="46">
        <v>9</v>
      </c>
      <c r="CS75" s="46" t="s">
        <v>854</v>
      </c>
      <c r="CT75" s="46" t="s">
        <v>856</v>
      </c>
      <c r="CU75" s="46" t="s">
        <v>74</v>
      </c>
      <c r="CV75" s="46">
        <v>0</v>
      </c>
      <c r="CW75" s="46">
        <v>1</v>
      </c>
      <c r="CX75" s="49" t="s">
        <v>745</v>
      </c>
      <c r="CY75" s="49" t="s">
        <v>36</v>
      </c>
      <c r="CZ75" s="49">
        <v>0</v>
      </c>
      <c r="DA75" s="49">
        <v>1</v>
      </c>
      <c r="DB75" s="64">
        <v>9985</v>
      </c>
      <c r="DC75" s="58">
        <v>63.01</v>
      </c>
      <c r="DD75" s="58">
        <v>1.78</v>
      </c>
      <c r="DE75" s="58">
        <v>8.34</v>
      </c>
      <c r="DF75" s="58">
        <v>23.119999999999997</v>
      </c>
      <c r="DG75" s="58">
        <v>3.6654982473710565</v>
      </c>
      <c r="DH75" s="58">
        <v>36.99</v>
      </c>
      <c r="DI75" s="45" t="s">
        <v>29</v>
      </c>
      <c r="DJ75" s="59" t="str">
        <f t="shared" si="40"/>
        <v>N/A</v>
      </c>
      <c r="DK75" s="65">
        <v>9985</v>
      </c>
      <c r="DL75" s="58">
        <v>63.01</v>
      </c>
      <c r="DM75" s="58">
        <v>1.78</v>
      </c>
      <c r="DN75" s="58">
        <v>8.34</v>
      </c>
      <c r="DO75" s="58">
        <v>36.99</v>
      </c>
      <c r="DP75" s="66">
        <v>52.25</v>
      </c>
      <c r="DQ75" s="67">
        <v>65480</v>
      </c>
      <c r="DR75" s="53">
        <v>18.100000000000001</v>
      </c>
      <c r="DS75" s="58">
        <v>69.099999999999994</v>
      </c>
      <c r="DT75" s="53">
        <v>42.7</v>
      </c>
      <c r="DU75" s="55">
        <v>2.2599999999999998</v>
      </c>
      <c r="DV75" s="50">
        <v>31.7</v>
      </c>
      <c r="DW75" s="53">
        <v>95</v>
      </c>
      <c r="DX75" s="53">
        <v>90.06</v>
      </c>
      <c r="DY75" s="53">
        <v>57.935499999999998</v>
      </c>
      <c r="DZ75" s="63"/>
    </row>
    <row r="76" spans="1:130" s="5" customFormat="1" ht="14.25" hidden="1" customHeight="1">
      <c r="A76" s="45">
        <v>1047</v>
      </c>
      <c r="B76" s="47" t="s">
        <v>69</v>
      </c>
      <c r="C76" s="47">
        <v>2012</v>
      </c>
      <c r="D76" s="47" t="s">
        <v>91</v>
      </c>
      <c r="E76" s="71" t="s">
        <v>92</v>
      </c>
      <c r="F76" s="46">
        <v>4</v>
      </c>
      <c r="G76" s="48">
        <v>30000</v>
      </c>
      <c r="H76" s="46" t="s">
        <v>332</v>
      </c>
      <c r="I76" s="46">
        <v>1</v>
      </c>
      <c r="J76" s="46">
        <v>3</v>
      </c>
      <c r="K76" s="49" t="s">
        <v>93</v>
      </c>
      <c r="L76" s="49" t="s">
        <v>30</v>
      </c>
      <c r="M76" s="49" t="s">
        <v>29</v>
      </c>
      <c r="N76" s="49" t="s">
        <v>513</v>
      </c>
      <c r="O76" s="49"/>
      <c r="P76" s="49" t="s">
        <v>201</v>
      </c>
      <c r="Q76" s="49" t="s">
        <v>35</v>
      </c>
      <c r="R76" s="49">
        <v>1</v>
      </c>
      <c r="S76" s="50">
        <f t="shared" si="30"/>
        <v>33.333333333333329</v>
      </c>
      <c r="T76" s="49">
        <v>3</v>
      </c>
      <c r="U76" s="50">
        <f t="shared" si="31"/>
        <v>100</v>
      </c>
      <c r="V76" s="49" t="s">
        <v>862</v>
      </c>
      <c r="W76" s="49">
        <v>1</v>
      </c>
      <c r="X76" s="50">
        <f t="shared" si="32"/>
        <v>33.333333333333329</v>
      </c>
      <c r="Y76" s="51" t="str">
        <f t="shared" si="33"/>
        <v>No</v>
      </c>
      <c r="Z76" s="49" t="s">
        <v>29</v>
      </c>
      <c r="AA76" s="49" t="s">
        <v>35</v>
      </c>
      <c r="AB76" s="49" t="s">
        <v>29</v>
      </c>
      <c r="AC76" s="46" t="s">
        <v>72</v>
      </c>
      <c r="AD76" s="46" t="s">
        <v>27</v>
      </c>
      <c r="AE76" s="46" t="s">
        <v>89</v>
      </c>
      <c r="AF76" s="46" t="s">
        <v>29</v>
      </c>
      <c r="AG76" s="103">
        <v>6839</v>
      </c>
      <c r="AH76" s="52">
        <v>5797</v>
      </c>
      <c r="AI76" s="52">
        <v>5797</v>
      </c>
      <c r="AJ76" s="102">
        <v>58.68</v>
      </c>
      <c r="AK76" s="104">
        <v>117.36</v>
      </c>
      <c r="AL76" s="102">
        <v>58.68</v>
      </c>
      <c r="AM76" s="102">
        <v>63.2</v>
      </c>
      <c r="AN76" s="53">
        <f t="shared" si="34"/>
        <v>117.36</v>
      </c>
      <c r="AO76" s="53">
        <v>28.17</v>
      </c>
      <c r="AP76" s="102">
        <v>1020</v>
      </c>
      <c r="AQ76" s="102">
        <v>14.9</v>
      </c>
      <c r="AR76" s="50">
        <v>25</v>
      </c>
      <c r="AS76" s="50">
        <v>0.4</v>
      </c>
      <c r="AT76" s="102"/>
      <c r="AU76" s="102"/>
      <c r="AV76" s="50"/>
      <c r="AW76" s="50"/>
      <c r="AX76" s="50">
        <v>1274</v>
      </c>
      <c r="AY76" s="50">
        <v>21.9</v>
      </c>
      <c r="AZ76" s="102"/>
      <c r="BA76" s="102"/>
      <c r="BB76" s="102"/>
      <c r="BC76" s="102"/>
      <c r="BD76" s="50">
        <v>26</v>
      </c>
      <c r="BE76" s="50">
        <v>0.4</v>
      </c>
      <c r="BF76" s="50">
        <v>1315</v>
      </c>
      <c r="BG76" s="50">
        <v>22.6</v>
      </c>
      <c r="BH76" s="102"/>
      <c r="BI76" s="102"/>
      <c r="BJ76" s="50"/>
      <c r="BK76" s="50"/>
      <c r="BL76" s="50"/>
      <c r="BM76" s="50"/>
      <c r="BN76" s="102"/>
      <c r="BO76" s="50"/>
      <c r="BP76" s="50"/>
      <c r="BQ76" s="50"/>
      <c r="BR76" s="102" t="s">
        <v>967</v>
      </c>
      <c r="BS76" s="54" t="s">
        <v>29</v>
      </c>
      <c r="BT76" s="45" t="str">
        <f t="shared" si="35"/>
        <v>No</v>
      </c>
      <c r="BU76" s="45" t="str">
        <f t="shared" si="36"/>
        <v>No</v>
      </c>
      <c r="BV76" s="45" t="str">
        <f t="shared" si="37"/>
        <v>No</v>
      </c>
      <c r="BW76" s="55">
        <f t="shared" ref="BW76:BW85" si="41">(54163/(54163+2766))*100</f>
        <v>95.141316376539194</v>
      </c>
      <c r="BX76" s="55"/>
      <c r="BY76" s="55">
        <v>93.211316376539202</v>
      </c>
      <c r="BZ76" s="55"/>
      <c r="CA76" s="45">
        <v>2012</v>
      </c>
      <c r="CB76" s="55">
        <f t="shared" si="38"/>
        <v>59.407665505226483</v>
      </c>
      <c r="CC76" s="46" t="s">
        <v>490</v>
      </c>
      <c r="CD76" s="46" t="s">
        <v>71</v>
      </c>
      <c r="CE76" s="46" t="s">
        <v>783</v>
      </c>
      <c r="CF76" s="46">
        <v>1</v>
      </c>
      <c r="CG76" s="46" t="str">
        <f t="shared" si="39"/>
        <v>No</v>
      </c>
      <c r="CH76" s="46" t="s">
        <v>29</v>
      </c>
      <c r="CI76" s="56">
        <v>150</v>
      </c>
      <c r="CJ76" s="46">
        <v>20</v>
      </c>
      <c r="CK76" s="46">
        <v>150</v>
      </c>
      <c r="CL76" s="49" t="s">
        <v>29</v>
      </c>
      <c r="CM76" s="50">
        <v>0</v>
      </c>
      <c r="CN76" s="50"/>
      <c r="CO76" s="50"/>
      <c r="CP76" s="46" t="s">
        <v>23</v>
      </c>
      <c r="CQ76" s="46" t="s">
        <v>24</v>
      </c>
      <c r="CR76" s="46">
        <v>9</v>
      </c>
      <c r="CS76" s="46" t="s">
        <v>854</v>
      </c>
      <c r="CT76" s="46" t="s">
        <v>856</v>
      </c>
      <c r="CU76" s="46" t="s">
        <v>74</v>
      </c>
      <c r="CV76" s="46">
        <v>0</v>
      </c>
      <c r="CW76" s="46">
        <v>1</v>
      </c>
      <c r="CX76" s="49" t="s">
        <v>562</v>
      </c>
      <c r="CY76" s="49" t="s">
        <v>36</v>
      </c>
      <c r="CZ76" s="49">
        <v>1</v>
      </c>
      <c r="DA76" s="49">
        <v>1</v>
      </c>
      <c r="DB76" s="64">
        <v>9758</v>
      </c>
      <c r="DC76" s="58">
        <v>48.5</v>
      </c>
      <c r="DD76" s="58">
        <v>26.900000000000002</v>
      </c>
      <c r="DE76" s="58">
        <v>12.02</v>
      </c>
      <c r="DF76" s="58">
        <v>8.0500000000000007</v>
      </c>
      <c r="DG76" s="58">
        <v>4.6218487394957988</v>
      </c>
      <c r="DH76" s="58">
        <v>51.5</v>
      </c>
      <c r="DI76" s="45" t="s">
        <v>35</v>
      </c>
      <c r="DJ76" s="59" t="str">
        <f t="shared" si="40"/>
        <v>No single majority group</v>
      </c>
      <c r="DK76" s="65">
        <v>9758</v>
      </c>
      <c r="DL76" s="58">
        <v>48.5</v>
      </c>
      <c r="DM76" s="58">
        <v>26.900000000000002</v>
      </c>
      <c r="DN76" s="58">
        <v>12.02</v>
      </c>
      <c r="DO76" s="58">
        <v>51.5</v>
      </c>
      <c r="DP76" s="66">
        <v>53.1</v>
      </c>
      <c r="DQ76" s="67">
        <v>65283</v>
      </c>
      <c r="DR76" s="53">
        <v>20</v>
      </c>
      <c r="DS76" s="58">
        <v>69.5</v>
      </c>
      <c r="DT76" s="53">
        <v>41.9</v>
      </c>
      <c r="DU76" s="55">
        <v>2.29</v>
      </c>
      <c r="DV76" s="50">
        <v>31.1</v>
      </c>
      <c r="DW76" s="53">
        <v>95.5</v>
      </c>
      <c r="DX76" s="53">
        <v>83.46</v>
      </c>
      <c r="DY76" s="53">
        <v>57.501600000000003</v>
      </c>
      <c r="DZ76" s="63"/>
    </row>
    <row r="77" spans="1:130" s="5" customFormat="1" ht="14.25" hidden="1" customHeight="1">
      <c r="A77" s="45">
        <v>1048</v>
      </c>
      <c r="B77" s="47" t="s">
        <v>69</v>
      </c>
      <c r="C77" s="47">
        <v>2012</v>
      </c>
      <c r="D77" s="47" t="s">
        <v>94</v>
      </c>
      <c r="E77" s="46" t="s">
        <v>95</v>
      </c>
      <c r="F77" s="46">
        <v>4</v>
      </c>
      <c r="G77" s="48">
        <v>30000</v>
      </c>
      <c r="H77" s="46" t="s">
        <v>332</v>
      </c>
      <c r="I77" s="46">
        <v>1</v>
      </c>
      <c r="J77" s="46">
        <v>2</v>
      </c>
      <c r="K77" s="49" t="s">
        <v>96</v>
      </c>
      <c r="L77" s="49" t="s">
        <v>30</v>
      </c>
      <c r="M77" s="49" t="s">
        <v>29</v>
      </c>
      <c r="N77" s="49" t="s">
        <v>513</v>
      </c>
      <c r="O77" s="49"/>
      <c r="P77" s="49" t="s">
        <v>201</v>
      </c>
      <c r="Q77" s="49" t="s">
        <v>35</v>
      </c>
      <c r="R77" s="49">
        <v>0</v>
      </c>
      <c r="S77" s="50">
        <f t="shared" si="30"/>
        <v>0</v>
      </c>
      <c r="T77" s="49">
        <v>1</v>
      </c>
      <c r="U77" s="50">
        <f t="shared" si="31"/>
        <v>50</v>
      </c>
      <c r="V77" s="49" t="s">
        <v>858</v>
      </c>
      <c r="W77" s="49">
        <v>0</v>
      </c>
      <c r="X77" s="50">
        <f t="shared" si="32"/>
        <v>0</v>
      </c>
      <c r="Y77" s="51" t="str">
        <f t="shared" si="33"/>
        <v>No</v>
      </c>
      <c r="Z77" s="49" t="s">
        <v>29</v>
      </c>
      <c r="AA77" s="49" t="s">
        <v>35</v>
      </c>
      <c r="AB77" s="49" t="s">
        <v>29</v>
      </c>
      <c r="AC77" s="46" t="s">
        <v>72</v>
      </c>
      <c r="AD77" s="46" t="s">
        <v>27</v>
      </c>
      <c r="AE77" s="46" t="s">
        <v>89</v>
      </c>
      <c r="AF77" s="46" t="s">
        <v>29</v>
      </c>
      <c r="AG77" s="103">
        <v>6524</v>
      </c>
      <c r="AH77" s="52">
        <v>5174</v>
      </c>
      <c r="AI77" s="52">
        <v>5174</v>
      </c>
      <c r="AJ77" s="102">
        <v>60.35</v>
      </c>
      <c r="AK77" s="104">
        <v>120.7</v>
      </c>
      <c r="AL77" s="102">
        <v>60.35</v>
      </c>
      <c r="AM77" s="102">
        <v>60.4</v>
      </c>
      <c r="AN77" s="53">
        <f t="shared" si="34"/>
        <v>120.7</v>
      </c>
      <c r="AO77" s="53">
        <v>39.11</v>
      </c>
      <c r="AP77" s="102">
        <v>1332</v>
      </c>
      <c r="AQ77" s="102">
        <v>20.399999999999999</v>
      </c>
      <c r="AR77" s="102">
        <v>13</v>
      </c>
      <c r="AS77" s="102">
        <v>0.3</v>
      </c>
      <c r="AT77" s="102"/>
      <c r="AU77" s="102"/>
      <c r="AV77" s="102"/>
      <c r="AW77" s="102"/>
      <c r="AX77" s="102">
        <v>1993</v>
      </c>
      <c r="AY77" s="102">
        <v>38.4</v>
      </c>
      <c r="AZ77" s="102"/>
      <c r="BA77" s="102"/>
      <c r="BB77" s="102"/>
      <c r="BC77" s="102"/>
      <c r="BD77" s="102">
        <v>38</v>
      </c>
      <c r="BE77" s="102">
        <v>0.7</v>
      </c>
      <c r="BF77" s="102">
        <v>2032</v>
      </c>
      <c r="BG77" s="102">
        <v>39.1</v>
      </c>
      <c r="BH77" s="102"/>
      <c r="BI77" s="102"/>
      <c r="BJ77" s="102"/>
      <c r="BK77" s="102"/>
      <c r="BL77" s="102"/>
      <c r="BM77" s="102"/>
      <c r="BN77" s="102"/>
      <c r="BO77" s="102"/>
      <c r="BP77" s="102"/>
      <c r="BQ77" s="102"/>
      <c r="BR77" s="102" t="s">
        <v>967</v>
      </c>
      <c r="BS77" s="54" t="s">
        <v>29</v>
      </c>
      <c r="BT77" s="45" t="str">
        <f t="shared" si="35"/>
        <v>Yes</v>
      </c>
      <c r="BU77" s="45" t="str">
        <f t="shared" si="36"/>
        <v>No</v>
      </c>
      <c r="BV77" s="45" t="str">
        <f t="shared" si="37"/>
        <v>No</v>
      </c>
      <c r="BW77" s="55">
        <f t="shared" si="41"/>
        <v>95.141316376539194</v>
      </c>
      <c r="BX77" s="55"/>
      <c r="BY77" s="55">
        <v>93.211316376539202</v>
      </c>
      <c r="BZ77" s="55"/>
      <c r="CA77" s="45">
        <v>2012</v>
      </c>
      <c r="CB77" s="55">
        <f t="shared" si="38"/>
        <v>48.954489544895445</v>
      </c>
      <c r="CC77" s="46" t="s">
        <v>490</v>
      </c>
      <c r="CD77" s="46" t="s">
        <v>71</v>
      </c>
      <c r="CE77" s="46" t="s">
        <v>783</v>
      </c>
      <c r="CF77" s="46">
        <v>1</v>
      </c>
      <c r="CG77" s="46" t="str">
        <f t="shared" si="39"/>
        <v>No</v>
      </c>
      <c r="CH77" s="46" t="s">
        <v>29</v>
      </c>
      <c r="CI77" s="56">
        <v>150</v>
      </c>
      <c r="CJ77" s="46">
        <v>20</v>
      </c>
      <c r="CK77" s="46">
        <v>150</v>
      </c>
      <c r="CL77" s="49" t="s">
        <v>29</v>
      </c>
      <c r="CM77" s="50">
        <v>0</v>
      </c>
      <c r="CN77" s="50"/>
      <c r="CO77" s="50"/>
      <c r="CP77" s="46" t="s">
        <v>23</v>
      </c>
      <c r="CQ77" s="46" t="s">
        <v>24</v>
      </c>
      <c r="CR77" s="46">
        <v>9</v>
      </c>
      <c r="CS77" s="46" t="s">
        <v>854</v>
      </c>
      <c r="CT77" s="46" t="s">
        <v>856</v>
      </c>
      <c r="CU77" s="46" t="s">
        <v>74</v>
      </c>
      <c r="CV77" s="46">
        <v>0</v>
      </c>
      <c r="CW77" s="46">
        <v>1</v>
      </c>
      <c r="CX77" s="49" t="s">
        <v>562</v>
      </c>
      <c r="CY77" s="49" t="s">
        <v>36</v>
      </c>
      <c r="CZ77" s="49">
        <v>1</v>
      </c>
      <c r="DA77" s="49">
        <v>1</v>
      </c>
      <c r="DB77" s="64">
        <v>10569</v>
      </c>
      <c r="DC77" s="58">
        <v>52.15</v>
      </c>
      <c r="DD77" s="58">
        <v>22.509999999999998</v>
      </c>
      <c r="DE77" s="58">
        <v>10.050000000000001</v>
      </c>
      <c r="DF77" s="58">
        <v>9.59</v>
      </c>
      <c r="DG77" s="58">
        <v>5.7242880121108906</v>
      </c>
      <c r="DH77" s="58">
        <v>47.85</v>
      </c>
      <c r="DI77" s="45" t="s">
        <v>29</v>
      </c>
      <c r="DJ77" s="59" t="str">
        <f t="shared" si="40"/>
        <v>N/A</v>
      </c>
      <c r="DK77" s="65">
        <v>10569</v>
      </c>
      <c r="DL77" s="58">
        <v>52.15</v>
      </c>
      <c r="DM77" s="58">
        <v>22.509999999999998</v>
      </c>
      <c r="DN77" s="58">
        <v>10.050000000000001</v>
      </c>
      <c r="DO77" s="58">
        <v>47.85</v>
      </c>
      <c r="DP77" s="66">
        <v>53.1</v>
      </c>
      <c r="DQ77" s="67">
        <v>65283</v>
      </c>
      <c r="DR77" s="53">
        <v>20</v>
      </c>
      <c r="DS77" s="58">
        <v>69.5</v>
      </c>
      <c r="DT77" s="53">
        <v>41.9</v>
      </c>
      <c r="DU77" s="55">
        <v>2.29</v>
      </c>
      <c r="DV77" s="50">
        <v>31.1</v>
      </c>
      <c r="DW77" s="53">
        <v>95.5</v>
      </c>
      <c r="DX77" s="53">
        <v>83.46</v>
      </c>
      <c r="DY77" s="53">
        <v>57.501600000000003</v>
      </c>
      <c r="DZ77" s="63"/>
    </row>
    <row r="78" spans="1:130" s="5" customFormat="1" ht="14.25" hidden="1" customHeight="1">
      <c r="A78" s="45">
        <v>1049</v>
      </c>
      <c r="B78" s="47" t="s">
        <v>69</v>
      </c>
      <c r="C78" s="47">
        <v>2012</v>
      </c>
      <c r="D78" s="47" t="s">
        <v>97</v>
      </c>
      <c r="E78" s="46" t="s">
        <v>98</v>
      </c>
      <c r="F78" s="46">
        <v>4</v>
      </c>
      <c r="G78" s="48">
        <v>30000</v>
      </c>
      <c r="H78" s="46" t="s">
        <v>332</v>
      </c>
      <c r="I78" s="46">
        <v>1</v>
      </c>
      <c r="J78" s="46">
        <v>2</v>
      </c>
      <c r="K78" s="49" t="s">
        <v>99</v>
      </c>
      <c r="L78" s="49" t="s">
        <v>30</v>
      </c>
      <c r="M78" s="49" t="s">
        <v>29</v>
      </c>
      <c r="N78" s="49" t="s">
        <v>513</v>
      </c>
      <c r="O78" s="49"/>
      <c r="P78" s="49" t="s">
        <v>31</v>
      </c>
      <c r="Q78" s="49" t="s">
        <v>29</v>
      </c>
      <c r="R78" s="49">
        <v>1</v>
      </c>
      <c r="S78" s="50">
        <f t="shared" si="30"/>
        <v>50</v>
      </c>
      <c r="T78" s="49">
        <v>0</v>
      </c>
      <c r="U78" s="50">
        <f t="shared" si="31"/>
        <v>0</v>
      </c>
      <c r="V78" s="45"/>
      <c r="W78" s="49">
        <v>0</v>
      </c>
      <c r="X78" s="50">
        <f t="shared" si="32"/>
        <v>0</v>
      </c>
      <c r="Y78" s="51" t="str">
        <f t="shared" si="33"/>
        <v>No</v>
      </c>
      <c r="Z78" s="49" t="s">
        <v>29</v>
      </c>
      <c r="AA78" s="49" t="s">
        <v>29</v>
      </c>
      <c r="AB78" s="49" t="s">
        <v>29</v>
      </c>
      <c r="AC78" s="46" t="s">
        <v>72</v>
      </c>
      <c r="AD78" s="46" t="s">
        <v>27</v>
      </c>
      <c r="AE78" s="46" t="s">
        <v>89</v>
      </c>
      <c r="AF78" s="46" t="s">
        <v>29</v>
      </c>
      <c r="AG78" s="103">
        <v>8767</v>
      </c>
      <c r="AH78" s="52">
        <v>7976</v>
      </c>
      <c r="AI78" s="52">
        <v>7976</v>
      </c>
      <c r="AJ78" s="102">
        <v>54.45</v>
      </c>
      <c r="AK78" s="104">
        <v>108.5</v>
      </c>
      <c r="AL78" s="102">
        <v>54.45</v>
      </c>
      <c r="AM78" s="102">
        <v>54.45</v>
      </c>
      <c r="AN78" s="53">
        <f t="shared" si="34"/>
        <v>108.9</v>
      </c>
      <c r="AO78" s="53">
        <v>45.4</v>
      </c>
      <c r="AP78" s="102">
        <v>778</v>
      </c>
      <c r="AQ78" s="102">
        <v>8.9</v>
      </c>
      <c r="AR78" s="50">
        <v>12</v>
      </c>
      <c r="AS78" s="50">
        <v>0.2</v>
      </c>
      <c r="AT78" s="102"/>
      <c r="AU78" s="102"/>
      <c r="AV78" s="50"/>
      <c r="AW78" s="50"/>
      <c r="AX78" s="50">
        <v>2216</v>
      </c>
      <c r="AY78" s="50">
        <v>27.7</v>
      </c>
      <c r="AZ78" s="102"/>
      <c r="BA78" s="102"/>
      <c r="BB78" s="102"/>
      <c r="BC78" s="102"/>
      <c r="BD78" s="50">
        <v>35</v>
      </c>
      <c r="BE78" s="50">
        <v>0.4</v>
      </c>
      <c r="BF78" s="50">
        <v>2251</v>
      </c>
      <c r="BG78" s="50">
        <v>28.2</v>
      </c>
      <c r="BH78" s="102"/>
      <c r="BI78" s="102"/>
      <c r="BJ78" s="50"/>
      <c r="BK78" s="50"/>
      <c r="BL78" s="50"/>
      <c r="BM78" s="50"/>
      <c r="BN78" s="102"/>
      <c r="BO78" s="50"/>
      <c r="BP78" s="50"/>
      <c r="BQ78" s="50"/>
      <c r="BR78" s="102" t="s">
        <v>967</v>
      </c>
      <c r="BS78" s="54" t="s">
        <v>29</v>
      </c>
      <c r="BT78" s="45" t="str">
        <f t="shared" si="35"/>
        <v>Yes</v>
      </c>
      <c r="BU78" s="45" t="str">
        <f t="shared" si="36"/>
        <v>Yes</v>
      </c>
      <c r="BV78" s="45" t="str">
        <f t="shared" si="37"/>
        <v>No</v>
      </c>
      <c r="BW78" s="55">
        <f t="shared" si="41"/>
        <v>95.141316376539194</v>
      </c>
      <c r="BX78" s="55"/>
      <c r="BY78" s="55">
        <v>93.211316376539202</v>
      </c>
      <c r="BZ78" s="55"/>
      <c r="CA78" s="45">
        <v>2012</v>
      </c>
      <c r="CB78" s="55">
        <f t="shared" si="38"/>
        <v>76.943854910283619</v>
      </c>
      <c r="CC78" s="46" t="s">
        <v>490</v>
      </c>
      <c r="CD78" s="46" t="s">
        <v>71</v>
      </c>
      <c r="CE78" s="46" t="s">
        <v>783</v>
      </c>
      <c r="CF78" s="46">
        <v>1</v>
      </c>
      <c r="CG78" s="46" t="str">
        <f t="shared" si="39"/>
        <v>No</v>
      </c>
      <c r="CH78" s="46" t="s">
        <v>29</v>
      </c>
      <c r="CI78" s="56">
        <v>150</v>
      </c>
      <c r="CJ78" s="46">
        <v>20</v>
      </c>
      <c r="CK78" s="46">
        <v>150</v>
      </c>
      <c r="CL78" s="49" t="s">
        <v>29</v>
      </c>
      <c r="CM78" s="50">
        <v>0</v>
      </c>
      <c r="CN78" s="50"/>
      <c r="CO78" s="50"/>
      <c r="CP78" s="46" t="s">
        <v>23</v>
      </c>
      <c r="CQ78" s="46" t="s">
        <v>24</v>
      </c>
      <c r="CR78" s="46">
        <v>9</v>
      </c>
      <c r="CS78" s="46" t="s">
        <v>854</v>
      </c>
      <c r="CT78" s="46" t="s">
        <v>856</v>
      </c>
      <c r="CU78" s="46" t="s">
        <v>74</v>
      </c>
      <c r="CV78" s="46">
        <v>0</v>
      </c>
      <c r="CW78" s="46">
        <v>1</v>
      </c>
      <c r="CX78" s="49" t="s">
        <v>562</v>
      </c>
      <c r="CY78" s="49" t="s">
        <v>36</v>
      </c>
      <c r="CZ78" s="49">
        <v>1</v>
      </c>
      <c r="DA78" s="49">
        <v>1</v>
      </c>
      <c r="DB78" s="64">
        <v>10366</v>
      </c>
      <c r="DC78" s="58">
        <v>77.94</v>
      </c>
      <c r="DD78" s="58">
        <v>3.01</v>
      </c>
      <c r="DE78" s="58">
        <v>5.5100000000000007</v>
      </c>
      <c r="DF78" s="58">
        <v>10.299999999999999</v>
      </c>
      <c r="DG78" s="58">
        <v>3.1641906231912023</v>
      </c>
      <c r="DH78" s="58">
        <v>22.060000000000002</v>
      </c>
      <c r="DI78" s="45" t="s">
        <v>29</v>
      </c>
      <c r="DJ78" s="59" t="str">
        <f t="shared" si="40"/>
        <v>N/A</v>
      </c>
      <c r="DK78" s="65">
        <v>10366</v>
      </c>
      <c r="DL78" s="58">
        <v>77.94</v>
      </c>
      <c r="DM78" s="58">
        <v>3.01</v>
      </c>
      <c r="DN78" s="58">
        <v>5.5100000000000007</v>
      </c>
      <c r="DO78" s="58">
        <v>22.060000000000002</v>
      </c>
      <c r="DP78" s="66">
        <v>53.1</v>
      </c>
      <c r="DQ78" s="67">
        <v>65283</v>
      </c>
      <c r="DR78" s="53">
        <v>20</v>
      </c>
      <c r="DS78" s="58">
        <v>69.5</v>
      </c>
      <c r="DT78" s="53">
        <v>41.9</v>
      </c>
      <c r="DU78" s="55">
        <v>2.29</v>
      </c>
      <c r="DV78" s="50">
        <v>31.1</v>
      </c>
      <c r="DW78" s="53">
        <v>95.5</v>
      </c>
      <c r="DX78" s="53">
        <v>83.46</v>
      </c>
      <c r="DY78" s="53">
        <v>57.501600000000003</v>
      </c>
      <c r="DZ78" s="63"/>
    </row>
    <row r="79" spans="1:130" s="5" customFormat="1" ht="14.25" hidden="1" customHeight="1">
      <c r="A79" s="45">
        <v>1050</v>
      </c>
      <c r="B79" s="47" t="s">
        <v>69</v>
      </c>
      <c r="C79" s="47">
        <v>2012</v>
      </c>
      <c r="D79" s="47" t="s">
        <v>100</v>
      </c>
      <c r="E79" s="46" t="s">
        <v>101</v>
      </c>
      <c r="F79" s="46">
        <v>4</v>
      </c>
      <c r="G79" s="48">
        <v>30000</v>
      </c>
      <c r="H79" s="46" t="s">
        <v>332</v>
      </c>
      <c r="I79" s="46">
        <v>1</v>
      </c>
      <c r="J79" s="46">
        <v>2</v>
      </c>
      <c r="K79" s="49" t="s">
        <v>102</v>
      </c>
      <c r="L79" s="49" t="s">
        <v>40</v>
      </c>
      <c r="M79" s="49" t="s">
        <v>35</v>
      </c>
      <c r="N79" s="49" t="s">
        <v>513</v>
      </c>
      <c r="O79" s="49"/>
      <c r="P79" s="49" t="s">
        <v>31</v>
      </c>
      <c r="Q79" s="49" t="s">
        <v>29</v>
      </c>
      <c r="R79" s="49">
        <v>2</v>
      </c>
      <c r="S79" s="50">
        <f t="shared" si="30"/>
        <v>100</v>
      </c>
      <c r="T79" s="49">
        <v>0</v>
      </c>
      <c r="U79" s="50">
        <f t="shared" si="31"/>
        <v>0</v>
      </c>
      <c r="V79" s="45"/>
      <c r="W79" s="49">
        <v>0</v>
      </c>
      <c r="X79" s="50">
        <f t="shared" si="32"/>
        <v>0</v>
      </c>
      <c r="Y79" s="51" t="str">
        <f t="shared" si="33"/>
        <v>No</v>
      </c>
      <c r="Z79" s="49" t="s">
        <v>29</v>
      </c>
      <c r="AA79" s="49" t="s">
        <v>29</v>
      </c>
      <c r="AB79" s="45" t="s">
        <v>35</v>
      </c>
      <c r="AC79" s="46" t="s">
        <v>72</v>
      </c>
      <c r="AD79" s="46" t="s">
        <v>27</v>
      </c>
      <c r="AE79" s="46" t="s">
        <v>89</v>
      </c>
      <c r="AF79" s="46" t="s">
        <v>29</v>
      </c>
      <c r="AG79" s="103">
        <v>7943</v>
      </c>
      <c r="AH79" s="52">
        <v>5952</v>
      </c>
      <c r="AI79" s="52">
        <v>5952</v>
      </c>
      <c r="AJ79" s="102">
        <v>93.71</v>
      </c>
      <c r="AK79" s="104">
        <v>187.42</v>
      </c>
      <c r="AL79" s="102">
        <v>93.71</v>
      </c>
      <c r="AM79" s="102" t="s">
        <v>23</v>
      </c>
      <c r="AN79" s="53">
        <f t="shared" si="34"/>
        <v>187.42</v>
      </c>
      <c r="AO79" s="53">
        <v>4.9000000000000004</v>
      </c>
      <c r="AP79" s="102">
        <v>1957</v>
      </c>
      <c r="AQ79" s="102">
        <v>24.6</v>
      </c>
      <c r="AR79" s="50">
        <v>10</v>
      </c>
      <c r="AS79" s="50">
        <v>0.2</v>
      </c>
      <c r="AT79" s="102"/>
      <c r="AU79" s="102"/>
      <c r="AV79" s="50"/>
      <c r="AW79" s="50"/>
      <c r="AX79" s="50">
        <v>2220</v>
      </c>
      <c r="AY79" s="50">
        <v>37.1</v>
      </c>
      <c r="AZ79" s="102"/>
      <c r="BA79" s="102"/>
      <c r="BB79" s="102"/>
      <c r="BC79" s="102"/>
      <c r="BD79" s="50">
        <v>38</v>
      </c>
      <c r="BE79" s="50">
        <v>0.6</v>
      </c>
      <c r="BF79" s="50">
        <v>2260</v>
      </c>
      <c r="BG79" s="50">
        <v>37.799999999999997</v>
      </c>
      <c r="BH79" s="102"/>
      <c r="BI79" s="102"/>
      <c r="BJ79" s="50"/>
      <c r="BK79" s="50"/>
      <c r="BL79" s="50"/>
      <c r="BM79" s="50"/>
      <c r="BN79" s="102"/>
      <c r="BO79" s="50"/>
      <c r="BP79" s="50"/>
      <c r="BQ79" s="50"/>
      <c r="BR79" s="102" t="s">
        <v>967</v>
      </c>
      <c r="BS79" s="54" t="s">
        <v>29</v>
      </c>
      <c r="BT79" s="45" t="str">
        <f t="shared" si="35"/>
        <v>No</v>
      </c>
      <c r="BU79" s="45" t="str">
        <f t="shared" si="36"/>
        <v>No</v>
      </c>
      <c r="BV79" s="45" t="str">
        <f t="shared" si="37"/>
        <v>No</v>
      </c>
      <c r="BW79" s="55">
        <f t="shared" si="41"/>
        <v>95.141316376539194</v>
      </c>
      <c r="BX79" s="55"/>
      <c r="BY79" s="55">
        <v>93.211316376539202</v>
      </c>
      <c r="BZ79" s="55"/>
      <c r="CA79" s="45">
        <v>2012</v>
      </c>
      <c r="CB79" s="55">
        <f t="shared" si="38"/>
        <v>57.977790765634133</v>
      </c>
      <c r="CC79" s="46" t="s">
        <v>490</v>
      </c>
      <c r="CD79" s="46" t="s">
        <v>71</v>
      </c>
      <c r="CE79" s="46" t="s">
        <v>783</v>
      </c>
      <c r="CF79" s="46">
        <v>1</v>
      </c>
      <c r="CG79" s="46" t="str">
        <f t="shared" si="39"/>
        <v>No</v>
      </c>
      <c r="CH79" s="46" t="s">
        <v>29</v>
      </c>
      <c r="CI79" s="56">
        <v>150</v>
      </c>
      <c r="CJ79" s="46">
        <v>20</v>
      </c>
      <c r="CK79" s="46">
        <v>150</v>
      </c>
      <c r="CL79" s="49" t="s">
        <v>29</v>
      </c>
      <c r="CM79" s="50">
        <v>0</v>
      </c>
      <c r="CN79" s="50"/>
      <c r="CO79" s="50"/>
      <c r="CP79" s="46" t="s">
        <v>23</v>
      </c>
      <c r="CQ79" s="46" t="s">
        <v>24</v>
      </c>
      <c r="CR79" s="46">
        <v>9</v>
      </c>
      <c r="CS79" s="46" t="s">
        <v>854</v>
      </c>
      <c r="CT79" s="46" t="s">
        <v>856</v>
      </c>
      <c r="CU79" s="46" t="s">
        <v>74</v>
      </c>
      <c r="CV79" s="46">
        <v>0</v>
      </c>
      <c r="CW79" s="46">
        <v>1</v>
      </c>
      <c r="CX79" s="49" t="s">
        <v>562</v>
      </c>
      <c r="CY79" s="49" t="s">
        <v>36</v>
      </c>
      <c r="CZ79" s="49">
        <v>1</v>
      </c>
      <c r="DA79" s="49">
        <v>1</v>
      </c>
      <c r="DB79" s="64">
        <v>10266</v>
      </c>
      <c r="DC79" s="58">
        <v>77.2</v>
      </c>
      <c r="DD79" s="58">
        <v>2.23</v>
      </c>
      <c r="DE79" s="58">
        <v>5.6800000000000006</v>
      </c>
      <c r="DF79" s="58">
        <v>12.04</v>
      </c>
      <c r="DG79" s="58">
        <v>2.902785895187999</v>
      </c>
      <c r="DH79" s="58">
        <v>22.799999999999997</v>
      </c>
      <c r="DI79" s="45" t="s">
        <v>29</v>
      </c>
      <c r="DJ79" s="59" t="str">
        <f t="shared" si="40"/>
        <v>N/A</v>
      </c>
      <c r="DK79" s="65">
        <v>10266</v>
      </c>
      <c r="DL79" s="58">
        <v>77.2</v>
      </c>
      <c r="DM79" s="58">
        <v>2.23</v>
      </c>
      <c r="DN79" s="58">
        <v>5.6800000000000006</v>
      </c>
      <c r="DO79" s="58">
        <v>22.799999999999997</v>
      </c>
      <c r="DP79" s="66">
        <v>53.1</v>
      </c>
      <c r="DQ79" s="67">
        <v>65283</v>
      </c>
      <c r="DR79" s="53">
        <v>20</v>
      </c>
      <c r="DS79" s="58">
        <v>69.5</v>
      </c>
      <c r="DT79" s="53">
        <v>41.9</v>
      </c>
      <c r="DU79" s="55">
        <v>2.29</v>
      </c>
      <c r="DV79" s="50">
        <v>31.1</v>
      </c>
      <c r="DW79" s="53">
        <v>95.5</v>
      </c>
      <c r="DX79" s="53">
        <v>83.46</v>
      </c>
      <c r="DY79" s="53">
        <v>57.501600000000003</v>
      </c>
      <c r="DZ79" s="63"/>
    </row>
    <row r="80" spans="1:130" s="5" customFormat="1" ht="14.25" hidden="1" customHeight="1">
      <c r="A80" s="45">
        <v>1046</v>
      </c>
      <c r="B80" s="47" t="s">
        <v>69</v>
      </c>
      <c r="C80" s="47">
        <v>2012</v>
      </c>
      <c r="D80" s="47" t="s">
        <v>38</v>
      </c>
      <c r="E80" s="46" t="s">
        <v>22</v>
      </c>
      <c r="F80" s="46">
        <v>4</v>
      </c>
      <c r="G80" s="48">
        <f>12*4217</f>
        <v>50604</v>
      </c>
      <c r="H80" s="46" t="s">
        <v>332</v>
      </c>
      <c r="I80" s="46">
        <v>1</v>
      </c>
      <c r="J80" s="46">
        <v>7</v>
      </c>
      <c r="K80" s="49" t="s">
        <v>90</v>
      </c>
      <c r="L80" s="49" t="s">
        <v>30</v>
      </c>
      <c r="M80" s="49" t="s">
        <v>29</v>
      </c>
      <c r="N80" s="49" t="s">
        <v>513</v>
      </c>
      <c r="O80" s="49"/>
      <c r="P80" s="49" t="s">
        <v>31</v>
      </c>
      <c r="Q80" s="49" t="s">
        <v>29</v>
      </c>
      <c r="R80" s="49">
        <v>1</v>
      </c>
      <c r="S80" s="50">
        <f t="shared" si="30"/>
        <v>14.285714285714285</v>
      </c>
      <c r="T80" s="49">
        <v>1</v>
      </c>
      <c r="U80" s="50">
        <f t="shared" si="31"/>
        <v>14.285714285714285</v>
      </c>
      <c r="V80" s="49" t="s">
        <v>776</v>
      </c>
      <c r="W80" s="49">
        <v>0</v>
      </c>
      <c r="X80" s="50">
        <f t="shared" si="32"/>
        <v>0</v>
      </c>
      <c r="Y80" s="51" t="str">
        <f t="shared" si="33"/>
        <v>No</v>
      </c>
      <c r="Z80" s="49" t="s">
        <v>29</v>
      </c>
      <c r="AA80" s="49" t="s">
        <v>29</v>
      </c>
      <c r="AB80" s="49" t="s">
        <v>29</v>
      </c>
      <c r="AC80" s="46" t="s">
        <v>72</v>
      </c>
      <c r="AD80" s="46" t="s">
        <v>27</v>
      </c>
      <c r="AE80" s="46" t="s">
        <v>89</v>
      </c>
      <c r="AF80" s="46" t="s">
        <v>29</v>
      </c>
      <c r="AG80" s="103">
        <v>57492</v>
      </c>
      <c r="AH80" s="52">
        <v>53095</v>
      </c>
      <c r="AI80" s="52">
        <v>53095</v>
      </c>
      <c r="AJ80" s="102">
        <v>54.09</v>
      </c>
      <c r="AK80" s="104">
        <v>108.18</v>
      </c>
      <c r="AL80" s="102">
        <v>54.09</v>
      </c>
      <c r="AM80" s="102">
        <v>67.599999999999994</v>
      </c>
      <c r="AN80" s="53">
        <f t="shared" si="34"/>
        <v>108.18</v>
      </c>
      <c r="AO80" s="53">
        <v>21.74</v>
      </c>
      <c r="AP80" s="102">
        <v>4269</v>
      </c>
      <c r="AQ80" s="102">
        <v>7.4</v>
      </c>
      <c r="AR80" s="50">
        <v>291</v>
      </c>
      <c r="AS80" s="50">
        <v>0.5</v>
      </c>
      <c r="AT80" s="102"/>
      <c r="AU80" s="102"/>
      <c r="AV80" s="50"/>
      <c r="AW80" s="50"/>
      <c r="AX80" s="50">
        <v>7849</v>
      </c>
      <c r="AY80" s="50">
        <v>14.7</v>
      </c>
      <c r="AZ80" s="102"/>
      <c r="BA80" s="102"/>
      <c r="BB80" s="102"/>
      <c r="BC80" s="102"/>
      <c r="BD80" s="50">
        <v>229</v>
      </c>
      <c r="BE80" s="50">
        <v>0.4</v>
      </c>
      <c r="BF80" s="50">
        <v>8297</v>
      </c>
      <c r="BG80" s="50">
        <v>15.6</v>
      </c>
      <c r="BH80" s="102"/>
      <c r="BI80" s="102"/>
      <c r="BJ80" s="50"/>
      <c r="BK80" s="50"/>
      <c r="BL80" s="50"/>
      <c r="BM80" s="50"/>
      <c r="BN80" s="102"/>
      <c r="BO80" s="50"/>
      <c r="BP80" s="50"/>
      <c r="BQ80" s="50"/>
      <c r="BR80" s="102" t="s">
        <v>967</v>
      </c>
      <c r="BS80" s="54" t="s">
        <v>29</v>
      </c>
      <c r="BT80" s="45" t="str">
        <f t="shared" si="35"/>
        <v>No</v>
      </c>
      <c r="BU80" s="45" t="str">
        <f t="shared" si="36"/>
        <v>No</v>
      </c>
      <c r="BV80" s="45" t="str">
        <f t="shared" si="37"/>
        <v>No</v>
      </c>
      <c r="BW80" s="55">
        <f t="shared" si="41"/>
        <v>95.141316376539194</v>
      </c>
      <c r="BX80" s="55">
        <f>(54163/(54163+2766))*100</f>
        <v>95.141316376539194</v>
      </c>
      <c r="BY80" s="55">
        <v>93.211316376539202</v>
      </c>
      <c r="BZ80" s="55">
        <f>BX80-(0.0386*100/2)</f>
        <v>93.211316376539187</v>
      </c>
      <c r="CA80" s="45">
        <v>2012</v>
      </c>
      <c r="CB80" s="55">
        <f t="shared" si="38"/>
        <v>60.728582866293038</v>
      </c>
      <c r="CC80" s="46" t="s">
        <v>490</v>
      </c>
      <c r="CD80" s="46" t="s">
        <v>71</v>
      </c>
      <c r="CE80" s="46" t="s">
        <v>783</v>
      </c>
      <c r="CF80" s="46">
        <v>1</v>
      </c>
      <c r="CG80" s="46" t="str">
        <f t="shared" si="39"/>
        <v>No</v>
      </c>
      <c r="CH80" s="46" t="s">
        <v>29</v>
      </c>
      <c r="CI80" s="56">
        <v>150</v>
      </c>
      <c r="CJ80" s="46">
        <v>20</v>
      </c>
      <c r="CK80" s="46">
        <v>150</v>
      </c>
      <c r="CL80" s="49" t="s">
        <v>29</v>
      </c>
      <c r="CM80" s="50">
        <v>0</v>
      </c>
      <c r="CN80" s="50">
        <v>174482</v>
      </c>
      <c r="CO80" s="50" t="s">
        <v>29</v>
      </c>
      <c r="CP80" s="46" t="s">
        <v>23</v>
      </c>
      <c r="CQ80" s="46" t="s">
        <v>23</v>
      </c>
      <c r="CR80" s="46">
        <v>9</v>
      </c>
      <c r="CS80" s="46" t="s">
        <v>854</v>
      </c>
      <c r="CT80" s="46" t="s">
        <v>53</v>
      </c>
      <c r="CU80" s="46" t="s">
        <v>74</v>
      </c>
      <c r="CV80" s="46">
        <v>0</v>
      </c>
      <c r="CW80" s="46">
        <v>1</v>
      </c>
      <c r="CX80" s="49" t="s">
        <v>562</v>
      </c>
      <c r="CY80" s="49" t="s">
        <v>36</v>
      </c>
      <c r="CZ80" s="49">
        <v>1</v>
      </c>
      <c r="DA80" s="49">
        <v>1</v>
      </c>
      <c r="DB80" s="57">
        <v>87430</v>
      </c>
      <c r="DC80" s="58">
        <v>60.797209195928168</v>
      </c>
      <c r="DD80" s="58">
        <v>9.1273018414731784</v>
      </c>
      <c r="DE80" s="58">
        <v>8.6640741164360069</v>
      </c>
      <c r="DF80" s="58">
        <v>17.122269243966599</v>
      </c>
      <c r="DG80" s="58">
        <v>4.2891456021960428</v>
      </c>
      <c r="DH80" s="58">
        <v>39.202790804071832</v>
      </c>
      <c r="DI80" s="45" t="s">
        <v>29</v>
      </c>
      <c r="DJ80" s="59" t="str">
        <f t="shared" si="40"/>
        <v>N/A</v>
      </c>
      <c r="DK80" s="60">
        <v>87430</v>
      </c>
      <c r="DL80" s="58">
        <v>60.797209195928168</v>
      </c>
      <c r="DM80" s="58">
        <v>9.1273018414731784</v>
      </c>
      <c r="DN80" s="58">
        <v>8.6640741164360069</v>
      </c>
      <c r="DO80" s="58">
        <v>39.202790804071832</v>
      </c>
      <c r="DP80" s="66">
        <v>53.1</v>
      </c>
      <c r="DQ80" s="67">
        <v>65283</v>
      </c>
      <c r="DR80" s="53">
        <v>20</v>
      </c>
      <c r="DS80" s="58">
        <v>69.5</v>
      </c>
      <c r="DT80" s="53">
        <v>41.9</v>
      </c>
      <c r="DU80" s="55">
        <v>2.29</v>
      </c>
      <c r="DV80" s="50">
        <v>31.1</v>
      </c>
      <c r="DW80" s="53">
        <v>95.5</v>
      </c>
      <c r="DX80" s="53">
        <v>83.46</v>
      </c>
      <c r="DY80" s="53">
        <v>57.501600000000003</v>
      </c>
      <c r="DZ80" s="63"/>
    </row>
    <row r="81" spans="1:130" s="5" customFormat="1" ht="14.25" hidden="1" customHeight="1">
      <c r="A81" s="45">
        <v>1041</v>
      </c>
      <c r="B81" s="47" t="s">
        <v>69</v>
      </c>
      <c r="C81" s="47">
        <v>2014</v>
      </c>
      <c r="D81" s="47" t="s">
        <v>70</v>
      </c>
      <c r="E81" s="46" t="s">
        <v>22</v>
      </c>
      <c r="F81" s="46">
        <v>4</v>
      </c>
      <c r="G81" s="48">
        <v>146992</v>
      </c>
      <c r="H81" s="46" t="s">
        <v>249</v>
      </c>
      <c r="I81" s="46">
        <v>1</v>
      </c>
      <c r="J81" s="46">
        <v>1</v>
      </c>
      <c r="K81" s="49" t="s">
        <v>75</v>
      </c>
      <c r="L81" s="49" t="s">
        <v>40</v>
      </c>
      <c r="M81" s="49" t="s">
        <v>35</v>
      </c>
      <c r="N81" s="49" t="s">
        <v>513</v>
      </c>
      <c r="O81" s="49">
        <v>2002</v>
      </c>
      <c r="P81" s="49" t="s">
        <v>31</v>
      </c>
      <c r="Q81" s="49" t="s">
        <v>29</v>
      </c>
      <c r="R81" s="49">
        <v>1</v>
      </c>
      <c r="S81" s="50">
        <f t="shared" si="30"/>
        <v>100</v>
      </c>
      <c r="T81" s="49">
        <v>0</v>
      </c>
      <c r="U81" s="50">
        <f t="shared" si="31"/>
        <v>0</v>
      </c>
      <c r="V81" s="45"/>
      <c r="W81" s="49">
        <v>0</v>
      </c>
      <c r="X81" s="50">
        <f t="shared" si="32"/>
        <v>0</v>
      </c>
      <c r="Y81" s="51" t="str">
        <f t="shared" si="33"/>
        <v>No</v>
      </c>
      <c r="Z81" s="49" t="s">
        <v>29</v>
      </c>
      <c r="AA81" s="49" t="s">
        <v>29</v>
      </c>
      <c r="AB81" s="45" t="s">
        <v>35</v>
      </c>
      <c r="AC81" s="46" t="s">
        <v>72</v>
      </c>
      <c r="AD81" s="46" t="s">
        <v>27</v>
      </c>
      <c r="AE81" s="46" t="s">
        <v>73</v>
      </c>
      <c r="AF81" s="46" t="s">
        <v>29</v>
      </c>
      <c r="AG81" s="103">
        <v>39092</v>
      </c>
      <c r="AH81" s="52">
        <v>27082</v>
      </c>
      <c r="AI81" s="52">
        <v>27082</v>
      </c>
      <c r="AJ81" s="102">
        <v>98.43</v>
      </c>
      <c r="AK81" s="104">
        <v>196.86</v>
      </c>
      <c r="AL81" s="102">
        <v>98.43</v>
      </c>
      <c r="AM81" s="102" t="s">
        <v>23</v>
      </c>
      <c r="AN81" s="53">
        <f t="shared" si="34"/>
        <v>196.86</v>
      </c>
      <c r="AO81" s="53" t="s">
        <v>23</v>
      </c>
      <c r="AP81" s="102">
        <v>12010</v>
      </c>
      <c r="AQ81" s="102">
        <v>30.722398444694566</v>
      </c>
      <c r="AR81" s="102">
        <v>18</v>
      </c>
      <c r="AS81" s="102">
        <f>AR81/AI81</f>
        <v>6.6464810575289862E-4</v>
      </c>
      <c r="AT81" s="102"/>
      <c r="AU81" s="102"/>
      <c r="AV81" s="102"/>
      <c r="AW81" s="102"/>
      <c r="AX81" s="102">
        <v>10359</v>
      </c>
      <c r="AY81" s="102">
        <v>37.799999999999997</v>
      </c>
      <c r="AZ81" s="102">
        <v>9675</v>
      </c>
      <c r="BA81" s="102">
        <v>35.299999999999997</v>
      </c>
      <c r="BB81" s="102">
        <v>684</v>
      </c>
      <c r="BC81" s="102">
        <v>2.5</v>
      </c>
      <c r="BD81" s="102">
        <v>855</v>
      </c>
      <c r="BE81" s="102">
        <v>3.1</v>
      </c>
      <c r="BF81" s="102">
        <v>11088</v>
      </c>
      <c r="BG81" s="102">
        <v>40.5</v>
      </c>
      <c r="BH81" s="102"/>
      <c r="BI81" s="102"/>
      <c r="BJ81" s="102"/>
      <c r="BK81" s="102"/>
      <c r="BL81" s="102"/>
      <c r="BM81" s="102"/>
      <c r="BN81" s="102"/>
      <c r="BO81" s="102"/>
      <c r="BP81" s="102"/>
      <c r="BQ81" s="102"/>
      <c r="BR81" s="102" t="s">
        <v>967</v>
      </c>
      <c r="BS81" s="54" t="s">
        <v>23</v>
      </c>
      <c r="BT81" s="45" t="str">
        <f t="shared" si="35"/>
        <v>No</v>
      </c>
      <c r="BU81" s="45" t="str">
        <f t="shared" si="36"/>
        <v>No</v>
      </c>
      <c r="BV81" s="45" t="str">
        <f t="shared" si="37"/>
        <v>No</v>
      </c>
      <c r="BW81" s="55">
        <f t="shared" si="41"/>
        <v>95.141316376539194</v>
      </c>
      <c r="BX81" s="55">
        <f>(54163/(54163+2766))*100</f>
        <v>95.141316376539194</v>
      </c>
      <c r="BY81" s="55">
        <v>93.211316376539202</v>
      </c>
      <c r="BZ81" s="55">
        <f>BX81-(0.0386*100/2)</f>
        <v>93.211316376539187</v>
      </c>
      <c r="CA81" s="45">
        <v>2012</v>
      </c>
      <c r="CB81" s="55">
        <f t="shared" si="38"/>
        <v>30.975637652979525</v>
      </c>
      <c r="CC81" s="46" t="s">
        <v>490</v>
      </c>
      <c r="CD81" s="46" t="s">
        <v>71</v>
      </c>
      <c r="CE81" s="46" t="s">
        <v>783</v>
      </c>
      <c r="CF81" s="46">
        <v>1</v>
      </c>
      <c r="CG81" s="46" t="str">
        <f t="shared" si="39"/>
        <v>No</v>
      </c>
      <c r="CH81" s="46" t="s">
        <v>29</v>
      </c>
      <c r="CI81" s="56">
        <v>150</v>
      </c>
      <c r="CJ81" s="46">
        <v>20</v>
      </c>
      <c r="CK81" s="46">
        <v>150</v>
      </c>
      <c r="CL81" s="49" t="s">
        <v>29</v>
      </c>
      <c r="CM81" s="50">
        <v>0</v>
      </c>
      <c r="CN81" s="50"/>
      <c r="CO81" s="50"/>
      <c r="CP81" s="46" t="s">
        <v>23</v>
      </c>
      <c r="CQ81" s="46" t="s">
        <v>23</v>
      </c>
      <c r="CR81" s="46">
        <v>9</v>
      </c>
      <c r="CS81" s="46" t="s">
        <v>854</v>
      </c>
      <c r="CT81" s="46" t="s">
        <v>53</v>
      </c>
      <c r="CU81" s="46" t="s">
        <v>74</v>
      </c>
      <c r="CV81" s="46" t="s">
        <v>23</v>
      </c>
      <c r="CW81" s="46">
        <v>2</v>
      </c>
      <c r="CX81" s="49" t="s">
        <v>562</v>
      </c>
      <c r="CY81" s="49" t="s">
        <v>36</v>
      </c>
      <c r="CZ81" s="49">
        <v>1</v>
      </c>
      <c r="DA81" s="49">
        <v>1</v>
      </c>
      <c r="DB81" s="57">
        <v>87430</v>
      </c>
      <c r="DC81" s="58">
        <v>60.797209195928168</v>
      </c>
      <c r="DD81" s="58">
        <v>9.1273018414731784</v>
      </c>
      <c r="DE81" s="58">
        <v>8.6640741164360069</v>
      </c>
      <c r="DF81" s="58">
        <v>17.122269243966599</v>
      </c>
      <c r="DG81" s="58">
        <v>4.2891456021960428</v>
      </c>
      <c r="DH81" s="58">
        <v>39.202790804071832</v>
      </c>
      <c r="DI81" s="45" t="s">
        <v>29</v>
      </c>
      <c r="DJ81" s="59" t="str">
        <f t="shared" si="40"/>
        <v>N/A</v>
      </c>
      <c r="DK81" s="60">
        <v>87430</v>
      </c>
      <c r="DL81" s="58">
        <v>60.797209195928168</v>
      </c>
      <c r="DM81" s="58">
        <v>9.1273018414731784</v>
      </c>
      <c r="DN81" s="58">
        <v>8.6640741164360069</v>
      </c>
      <c r="DO81" s="58">
        <v>39.202790804071832</v>
      </c>
      <c r="DP81" s="66">
        <v>53.1</v>
      </c>
      <c r="DQ81" s="67">
        <v>65283</v>
      </c>
      <c r="DR81" s="53">
        <v>20</v>
      </c>
      <c r="DS81" s="58">
        <v>69.5</v>
      </c>
      <c r="DT81" s="53">
        <v>41.9</v>
      </c>
      <c r="DU81" s="55">
        <v>2.29</v>
      </c>
      <c r="DV81" s="50">
        <v>31.1</v>
      </c>
      <c r="DW81" s="53">
        <v>95.5</v>
      </c>
      <c r="DX81" s="53">
        <v>83.46</v>
      </c>
      <c r="DY81" s="53">
        <v>57.501600000000003</v>
      </c>
      <c r="DZ81" s="63"/>
    </row>
    <row r="82" spans="1:130" s="5" customFormat="1" ht="14.25" hidden="1" customHeight="1">
      <c r="A82" s="45">
        <v>1042</v>
      </c>
      <c r="B82" s="46" t="s">
        <v>69</v>
      </c>
      <c r="C82" s="47">
        <v>2014</v>
      </c>
      <c r="D82" s="47" t="s">
        <v>76</v>
      </c>
      <c r="E82" s="46" t="s">
        <v>77</v>
      </c>
      <c r="F82" s="46">
        <v>4</v>
      </c>
      <c r="G82" s="48">
        <v>30000</v>
      </c>
      <c r="H82" s="46" t="s">
        <v>332</v>
      </c>
      <c r="I82" s="46">
        <v>1</v>
      </c>
      <c r="J82" s="46">
        <v>3</v>
      </c>
      <c r="K82" s="49" t="s">
        <v>78</v>
      </c>
      <c r="L82" s="49" t="s">
        <v>40</v>
      </c>
      <c r="M82" s="49" t="s">
        <v>35</v>
      </c>
      <c r="N82" s="49" t="s">
        <v>513</v>
      </c>
      <c r="O82" s="49">
        <v>2002</v>
      </c>
      <c r="P82" s="49" t="s">
        <v>31</v>
      </c>
      <c r="Q82" s="49" t="s">
        <v>29</v>
      </c>
      <c r="R82" s="49">
        <v>2</v>
      </c>
      <c r="S82" s="50">
        <f t="shared" si="30"/>
        <v>66.666666666666657</v>
      </c>
      <c r="T82" s="49">
        <v>1</v>
      </c>
      <c r="U82" s="50">
        <f t="shared" si="31"/>
        <v>33.333333333333329</v>
      </c>
      <c r="V82" s="49" t="s">
        <v>789</v>
      </c>
      <c r="W82" s="49">
        <v>0</v>
      </c>
      <c r="X82" s="50">
        <f t="shared" si="32"/>
        <v>0</v>
      </c>
      <c r="Y82" s="51" t="str">
        <f t="shared" si="33"/>
        <v>No</v>
      </c>
      <c r="Z82" s="49" t="s">
        <v>29</v>
      </c>
      <c r="AA82" s="49" t="s">
        <v>29</v>
      </c>
      <c r="AB82" s="45" t="s">
        <v>35</v>
      </c>
      <c r="AC82" s="46" t="s">
        <v>72</v>
      </c>
      <c r="AD82" s="46" t="s">
        <v>27</v>
      </c>
      <c r="AE82" s="46" t="s">
        <v>73</v>
      </c>
      <c r="AF82" s="46" t="s">
        <v>29</v>
      </c>
      <c r="AG82" s="103">
        <v>6109</v>
      </c>
      <c r="AH82" s="52">
        <v>5580</v>
      </c>
      <c r="AI82" s="52">
        <v>5580</v>
      </c>
      <c r="AJ82" s="102">
        <v>54.54</v>
      </c>
      <c r="AK82" s="104">
        <v>109.08</v>
      </c>
      <c r="AL82" s="102">
        <v>54.54</v>
      </c>
      <c r="AM82" s="102">
        <v>57</v>
      </c>
      <c r="AN82" s="53">
        <f t="shared" si="34"/>
        <v>109.08</v>
      </c>
      <c r="AO82" s="53">
        <v>40.630000000000003</v>
      </c>
      <c r="AP82" s="102">
        <v>530</v>
      </c>
      <c r="AQ82" s="102">
        <v>8.6999999999999993</v>
      </c>
      <c r="AR82" s="102">
        <v>30</v>
      </c>
      <c r="AS82" s="102">
        <v>0.5</v>
      </c>
      <c r="AT82" s="102"/>
      <c r="AU82" s="102"/>
      <c r="AV82" s="102">
        <v>0</v>
      </c>
      <c r="AW82" s="102">
        <v>0</v>
      </c>
      <c r="AX82" s="102">
        <v>1031</v>
      </c>
      <c r="AY82" s="102">
        <v>18.5</v>
      </c>
      <c r="AZ82" s="102">
        <v>716</v>
      </c>
      <c r="BA82" s="102">
        <v>12.8</v>
      </c>
      <c r="BB82" s="102">
        <v>315</v>
      </c>
      <c r="BC82" s="102">
        <v>5.6</v>
      </c>
      <c r="BD82" s="102">
        <v>53</v>
      </c>
      <c r="BE82" s="102">
        <v>0.9</v>
      </c>
      <c r="BF82" s="102">
        <v>1098</v>
      </c>
      <c r="BG82" s="102">
        <v>19.7</v>
      </c>
      <c r="BH82" s="102">
        <v>79</v>
      </c>
      <c r="BI82" s="102">
        <v>1.4</v>
      </c>
      <c r="BJ82" s="102">
        <v>0</v>
      </c>
      <c r="BK82" s="102">
        <v>0</v>
      </c>
      <c r="BL82" s="102">
        <v>79</v>
      </c>
      <c r="BM82" s="102">
        <v>1.4</v>
      </c>
      <c r="BN82" s="102"/>
      <c r="BO82" s="102"/>
      <c r="BP82" s="102"/>
      <c r="BQ82" s="102"/>
      <c r="BR82" s="102" t="s">
        <v>967</v>
      </c>
      <c r="BS82" s="54" t="s">
        <v>29</v>
      </c>
      <c r="BT82" s="45" t="str">
        <f t="shared" si="35"/>
        <v>Yes</v>
      </c>
      <c r="BU82" s="45" t="str">
        <f t="shared" si="36"/>
        <v>Yes</v>
      </c>
      <c r="BV82" s="45" t="str">
        <f t="shared" si="37"/>
        <v>No</v>
      </c>
      <c r="BW82" s="55">
        <f t="shared" si="41"/>
        <v>95.141316376539194</v>
      </c>
      <c r="BX82" s="55"/>
      <c r="BY82" s="55">
        <v>93.211316376539202</v>
      </c>
      <c r="BZ82" s="55"/>
      <c r="CA82" s="45">
        <v>2012</v>
      </c>
      <c r="CB82" s="55">
        <f t="shared" si="38"/>
        <v>49.564753952744717</v>
      </c>
      <c r="CC82" s="46" t="s">
        <v>490</v>
      </c>
      <c r="CD82" s="46" t="s">
        <v>71</v>
      </c>
      <c r="CE82" s="46" t="s">
        <v>783</v>
      </c>
      <c r="CF82" s="46">
        <v>1</v>
      </c>
      <c r="CG82" s="46" t="str">
        <f t="shared" si="39"/>
        <v>No</v>
      </c>
      <c r="CH82" s="46" t="s">
        <v>29</v>
      </c>
      <c r="CI82" s="56">
        <v>150</v>
      </c>
      <c r="CJ82" s="46">
        <v>20</v>
      </c>
      <c r="CK82" s="46">
        <v>150</v>
      </c>
      <c r="CL82" s="49" t="s">
        <v>29</v>
      </c>
      <c r="CM82" s="50">
        <v>0</v>
      </c>
      <c r="CN82" s="50"/>
      <c r="CO82" s="50"/>
      <c r="CP82" s="46" t="s">
        <v>23</v>
      </c>
      <c r="CQ82" s="46" t="s">
        <v>24</v>
      </c>
      <c r="CR82" s="46">
        <v>9</v>
      </c>
      <c r="CS82" s="46" t="s">
        <v>854</v>
      </c>
      <c r="CT82" s="46" t="s">
        <v>856</v>
      </c>
      <c r="CU82" s="46" t="s">
        <v>74</v>
      </c>
      <c r="CV82" s="46" t="s">
        <v>23</v>
      </c>
      <c r="CW82" s="46">
        <v>2</v>
      </c>
      <c r="CX82" s="49" t="s">
        <v>562</v>
      </c>
      <c r="CY82" s="49" t="s">
        <v>36</v>
      </c>
      <c r="CZ82" s="49">
        <v>1</v>
      </c>
      <c r="DA82" s="49">
        <v>1</v>
      </c>
      <c r="DB82" s="64">
        <v>11258</v>
      </c>
      <c r="DC82" s="58">
        <v>56.899999999999991</v>
      </c>
      <c r="DD82" s="58">
        <v>9.08</v>
      </c>
      <c r="DE82" s="58">
        <v>12.030000000000001</v>
      </c>
      <c r="DF82" s="58">
        <v>35.010000000000005</v>
      </c>
      <c r="DG82" s="58">
        <v>4.8232368093799964</v>
      </c>
      <c r="DH82" s="58">
        <v>43.100000000000009</v>
      </c>
      <c r="DI82" s="45" t="s">
        <v>29</v>
      </c>
      <c r="DJ82" s="59" t="str">
        <f t="shared" si="40"/>
        <v>N/A</v>
      </c>
      <c r="DK82" s="65">
        <v>11258</v>
      </c>
      <c r="DL82" s="58">
        <v>56.899999999999991</v>
      </c>
      <c r="DM82" s="58">
        <v>9.08</v>
      </c>
      <c r="DN82" s="58">
        <v>12.030000000000001</v>
      </c>
      <c r="DO82" s="58">
        <v>43.100000000000009</v>
      </c>
      <c r="DP82" s="66">
        <v>53.1</v>
      </c>
      <c r="DQ82" s="67">
        <v>65283</v>
      </c>
      <c r="DR82" s="53">
        <v>20</v>
      </c>
      <c r="DS82" s="58">
        <v>69.5</v>
      </c>
      <c r="DT82" s="53">
        <v>41.9</v>
      </c>
      <c r="DU82" s="55">
        <v>2.29</v>
      </c>
      <c r="DV82" s="50">
        <v>31.1</v>
      </c>
      <c r="DW82" s="53">
        <v>95.5</v>
      </c>
      <c r="DX82" s="53">
        <v>83.46</v>
      </c>
      <c r="DY82" s="53">
        <v>57.501600000000003</v>
      </c>
      <c r="DZ82" s="63"/>
    </row>
    <row r="83" spans="1:130" s="5" customFormat="1" ht="14.25" hidden="1" customHeight="1">
      <c r="A83" s="45">
        <v>1043</v>
      </c>
      <c r="B83" s="47" t="s">
        <v>69</v>
      </c>
      <c r="C83" s="47">
        <v>2014</v>
      </c>
      <c r="D83" s="47" t="s">
        <v>79</v>
      </c>
      <c r="E83" s="46" t="s">
        <v>80</v>
      </c>
      <c r="F83" s="46">
        <v>4</v>
      </c>
      <c r="G83" s="48">
        <v>30000</v>
      </c>
      <c r="H83" s="46" t="s">
        <v>332</v>
      </c>
      <c r="I83" s="46">
        <v>1</v>
      </c>
      <c r="J83" s="46">
        <v>1</v>
      </c>
      <c r="K83" s="49" t="s">
        <v>81</v>
      </c>
      <c r="L83" s="49" t="s">
        <v>30</v>
      </c>
      <c r="M83" s="49" t="s">
        <v>29</v>
      </c>
      <c r="N83" s="49" t="s">
        <v>513</v>
      </c>
      <c r="O83" s="49">
        <v>2008</v>
      </c>
      <c r="P83" s="49" t="s">
        <v>857</v>
      </c>
      <c r="Q83" s="49" t="s">
        <v>35</v>
      </c>
      <c r="R83" s="49">
        <v>0</v>
      </c>
      <c r="S83" s="50">
        <f t="shared" si="30"/>
        <v>0</v>
      </c>
      <c r="T83" s="49">
        <v>1</v>
      </c>
      <c r="U83" s="50">
        <f t="shared" si="31"/>
        <v>100</v>
      </c>
      <c r="V83" s="49" t="s">
        <v>789</v>
      </c>
      <c r="W83" s="49">
        <v>0</v>
      </c>
      <c r="X83" s="50">
        <f t="shared" si="32"/>
        <v>0</v>
      </c>
      <c r="Y83" s="51" t="str">
        <f t="shared" si="33"/>
        <v>No</v>
      </c>
      <c r="Z83" s="49" t="s">
        <v>29</v>
      </c>
      <c r="AA83" s="49" t="s">
        <v>35</v>
      </c>
      <c r="AB83" s="49" t="s">
        <v>29</v>
      </c>
      <c r="AC83" s="46" t="s">
        <v>72</v>
      </c>
      <c r="AD83" s="46" t="s">
        <v>27</v>
      </c>
      <c r="AE83" s="46" t="s">
        <v>73</v>
      </c>
      <c r="AF83" s="46" t="s">
        <v>29</v>
      </c>
      <c r="AG83" s="103">
        <v>3652</v>
      </c>
      <c r="AH83" s="52">
        <v>2414</v>
      </c>
      <c r="AI83" s="52">
        <v>2414</v>
      </c>
      <c r="AJ83" s="102">
        <v>95.4</v>
      </c>
      <c r="AK83" s="104">
        <v>190.8</v>
      </c>
      <c r="AL83" s="102">
        <v>95.4</v>
      </c>
      <c r="AM83" s="102" t="s">
        <v>23</v>
      </c>
      <c r="AN83" s="53">
        <f t="shared" si="34"/>
        <v>190.8</v>
      </c>
      <c r="AO83" s="53" t="s">
        <v>23</v>
      </c>
      <c r="AP83" s="102">
        <v>1238</v>
      </c>
      <c r="AQ83" s="102">
        <v>33.89923329682366</v>
      </c>
      <c r="AR83" s="102">
        <v>4</v>
      </c>
      <c r="AS83" s="102">
        <f>AR83/AI83</f>
        <v>1.6570008285004142E-3</v>
      </c>
      <c r="AT83" s="102"/>
      <c r="AU83" s="102"/>
      <c r="AV83" s="102"/>
      <c r="AW83" s="102"/>
      <c r="AX83" s="102">
        <v>772</v>
      </c>
      <c r="AY83" s="102">
        <v>31.2</v>
      </c>
      <c r="AZ83" s="102">
        <v>651</v>
      </c>
      <c r="BA83" s="102">
        <v>26.3</v>
      </c>
      <c r="BB83" s="102">
        <v>121</v>
      </c>
      <c r="BC83" s="102">
        <v>4.9000000000000004</v>
      </c>
      <c r="BD83" s="102">
        <v>218</v>
      </c>
      <c r="BE83" s="102">
        <v>8.8000000000000007</v>
      </c>
      <c r="BF83" s="102">
        <v>938</v>
      </c>
      <c r="BG83" s="102">
        <v>37.9</v>
      </c>
      <c r="BH83" s="102"/>
      <c r="BI83" s="102"/>
      <c r="BJ83" s="102"/>
      <c r="BK83" s="102"/>
      <c r="BL83" s="102"/>
      <c r="BM83" s="102"/>
      <c r="BN83" s="102"/>
      <c r="BO83" s="102"/>
      <c r="BP83" s="102"/>
      <c r="BQ83" s="102"/>
      <c r="BR83" s="102" t="s">
        <v>967</v>
      </c>
      <c r="BS83" s="54" t="s">
        <v>23</v>
      </c>
      <c r="BT83" s="45" t="str">
        <f t="shared" si="35"/>
        <v>No</v>
      </c>
      <c r="BU83" s="45" t="str">
        <f t="shared" si="36"/>
        <v>No</v>
      </c>
      <c r="BV83" s="45" t="str">
        <f t="shared" si="37"/>
        <v>No</v>
      </c>
      <c r="BW83" s="55">
        <f t="shared" si="41"/>
        <v>95.141316376539194</v>
      </c>
      <c r="BX83" s="55"/>
      <c r="BY83" s="55">
        <v>93.211316376539202</v>
      </c>
      <c r="BZ83" s="55"/>
      <c r="CA83" s="45">
        <v>2012</v>
      </c>
      <c r="CB83" s="55">
        <f t="shared" si="38"/>
        <v>22.818791946308725</v>
      </c>
      <c r="CC83" s="46" t="s">
        <v>490</v>
      </c>
      <c r="CD83" s="46" t="s">
        <v>71</v>
      </c>
      <c r="CE83" s="46" t="s">
        <v>783</v>
      </c>
      <c r="CF83" s="46">
        <v>1</v>
      </c>
      <c r="CG83" s="46" t="str">
        <f t="shared" si="39"/>
        <v>No</v>
      </c>
      <c r="CH83" s="46" t="s">
        <v>29</v>
      </c>
      <c r="CI83" s="56">
        <v>150</v>
      </c>
      <c r="CJ83" s="46">
        <v>20</v>
      </c>
      <c r="CK83" s="46">
        <v>150</v>
      </c>
      <c r="CL83" s="49" t="s">
        <v>29</v>
      </c>
      <c r="CM83" s="50">
        <v>0</v>
      </c>
      <c r="CN83" s="102"/>
      <c r="CO83" s="50"/>
      <c r="CP83" s="46" t="s">
        <v>23</v>
      </c>
      <c r="CQ83" s="46" t="s">
        <v>24</v>
      </c>
      <c r="CR83" s="46">
        <v>9</v>
      </c>
      <c r="CS83" s="46" t="s">
        <v>854</v>
      </c>
      <c r="CT83" s="46" t="s">
        <v>856</v>
      </c>
      <c r="CU83" s="46" t="s">
        <v>74</v>
      </c>
      <c r="CV83" s="46" t="s">
        <v>23</v>
      </c>
      <c r="CW83" s="46">
        <v>2</v>
      </c>
      <c r="CX83" s="49" t="s">
        <v>562</v>
      </c>
      <c r="CY83" s="49" t="s">
        <v>36</v>
      </c>
      <c r="CZ83" s="49">
        <v>1</v>
      </c>
      <c r="DA83" s="49">
        <v>1</v>
      </c>
      <c r="DB83" s="64">
        <v>10579</v>
      </c>
      <c r="DC83" s="58">
        <v>59.440000000000005</v>
      </c>
      <c r="DD83" s="58">
        <v>6.58</v>
      </c>
      <c r="DE83" s="58">
        <v>6.03</v>
      </c>
      <c r="DF83" s="58">
        <v>24.33</v>
      </c>
      <c r="DG83" s="58">
        <v>3.5258531052084319</v>
      </c>
      <c r="DH83" s="58">
        <v>40.559999999999995</v>
      </c>
      <c r="DI83" s="45" t="s">
        <v>29</v>
      </c>
      <c r="DJ83" s="59" t="str">
        <f t="shared" si="40"/>
        <v>N/A</v>
      </c>
      <c r="DK83" s="65">
        <v>10579</v>
      </c>
      <c r="DL83" s="58">
        <v>34.276035322777098</v>
      </c>
      <c r="DM83" s="58">
        <v>30.334576735688184</v>
      </c>
      <c r="DN83" s="58">
        <v>14.151948842874543</v>
      </c>
      <c r="DO83" s="58">
        <v>65.723964677222895</v>
      </c>
      <c r="DP83" s="66">
        <v>53.1</v>
      </c>
      <c r="DQ83" s="67">
        <v>65283</v>
      </c>
      <c r="DR83" s="53">
        <v>20</v>
      </c>
      <c r="DS83" s="58">
        <v>69.5</v>
      </c>
      <c r="DT83" s="53">
        <v>41.9</v>
      </c>
      <c r="DU83" s="55">
        <v>2.29</v>
      </c>
      <c r="DV83" s="50">
        <v>31.1</v>
      </c>
      <c r="DW83" s="53">
        <v>95.5</v>
      </c>
      <c r="DX83" s="53">
        <v>83.46</v>
      </c>
      <c r="DY83" s="53">
        <v>57.501600000000003</v>
      </c>
      <c r="DZ83" s="63"/>
    </row>
    <row r="84" spans="1:130" s="5" customFormat="1" ht="14.25" hidden="1" customHeight="1">
      <c r="A84" s="45">
        <v>1044</v>
      </c>
      <c r="B84" s="46" t="s">
        <v>69</v>
      </c>
      <c r="C84" s="47">
        <v>2014</v>
      </c>
      <c r="D84" s="47" t="s">
        <v>82</v>
      </c>
      <c r="E84" s="46" t="s">
        <v>83</v>
      </c>
      <c r="F84" s="46">
        <v>4</v>
      </c>
      <c r="G84" s="48">
        <v>30000</v>
      </c>
      <c r="H84" s="46" t="s">
        <v>332</v>
      </c>
      <c r="I84" s="46">
        <v>1</v>
      </c>
      <c r="J84" s="46">
        <v>2</v>
      </c>
      <c r="K84" s="49" t="s">
        <v>84</v>
      </c>
      <c r="L84" s="49" t="s">
        <v>30</v>
      </c>
      <c r="M84" s="49" t="s">
        <v>29</v>
      </c>
      <c r="N84" s="49" t="s">
        <v>513</v>
      </c>
      <c r="O84" s="49">
        <v>2002</v>
      </c>
      <c r="P84" s="49" t="s">
        <v>31</v>
      </c>
      <c r="Q84" s="49" t="s">
        <v>29</v>
      </c>
      <c r="R84" s="49">
        <v>0</v>
      </c>
      <c r="S84" s="50">
        <f t="shared" si="30"/>
        <v>0</v>
      </c>
      <c r="T84" s="49">
        <v>0</v>
      </c>
      <c r="U84" s="50">
        <f t="shared" si="31"/>
        <v>0</v>
      </c>
      <c r="V84" s="45"/>
      <c r="W84" s="49">
        <v>0</v>
      </c>
      <c r="X84" s="50">
        <f t="shared" si="32"/>
        <v>0</v>
      </c>
      <c r="Y84" s="51" t="str">
        <f t="shared" si="33"/>
        <v>No</v>
      </c>
      <c r="Z84" s="49" t="s">
        <v>29</v>
      </c>
      <c r="AA84" s="49" t="s">
        <v>29</v>
      </c>
      <c r="AB84" s="49" t="s">
        <v>29</v>
      </c>
      <c r="AC84" s="46" t="s">
        <v>72</v>
      </c>
      <c r="AD84" s="46" t="s">
        <v>27</v>
      </c>
      <c r="AE84" s="46" t="s">
        <v>73</v>
      </c>
      <c r="AF84" s="46" t="s">
        <v>29</v>
      </c>
      <c r="AG84" s="103">
        <v>1786</v>
      </c>
      <c r="AH84" s="52">
        <v>1501</v>
      </c>
      <c r="AI84" s="52">
        <v>1501</v>
      </c>
      <c r="AJ84" s="102">
        <v>55.42</v>
      </c>
      <c r="AK84" s="104">
        <v>111</v>
      </c>
      <c r="AL84" s="102">
        <v>55.42</v>
      </c>
      <c r="AM84" s="102">
        <v>55.42</v>
      </c>
      <c r="AN84" s="53">
        <f t="shared" si="34"/>
        <v>110.84</v>
      </c>
      <c r="AO84" s="53">
        <v>44.16</v>
      </c>
      <c r="AP84" s="102">
        <v>285</v>
      </c>
      <c r="AQ84" s="102">
        <v>15.957446808510639</v>
      </c>
      <c r="AR84" s="50">
        <v>2</v>
      </c>
      <c r="AS84" s="50">
        <f>AR84/AI84</f>
        <v>1.3324450366422385E-3</v>
      </c>
      <c r="AT84" s="102"/>
      <c r="AU84" s="102"/>
      <c r="AV84" s="50"/>
      <c r="AW84" s="50"/>
      <c r="AX84" s="50">
        <v>410</v>
      </c>
      <c r="AY84" s="50">
        <v>27.2</v>
      </c>
      <c r="AZ84" s="102">
        <v>278</v>
      </c>
      <c r="BA84" s="102">
        <v>18.5</v>
      </c>
      <c r="BB84" s="102">
        <v>132</v>
      </c>
      <c r="BC84" s="102">
        <v>8.8000000000000007</v>
      </c>
      <c r="BD84" s="50">
        <v>43</v>
      </c>
      <c r="BE84" s="50">
        <v>2.9</v>
      </c>
      <c r="BF84" s="50">
        <v>453</v>
      </c>
      <c r="BG84" s="50">
        <v>30.1</v>
      </c>
      <c r="BH84" s="102"/>
      <c r="BI84" s="102"/>
      <c r="BJ84" s="50"/>
      <c r="BK84" s="50"/>
      <c r="BL84" s="50"/>
      <c r="BM84" s="50"/>
      <c r="BN84" s="102"/>
      <c r="BO84" s="50"/>
      <c r="BP84" s="50"/>
      <c r="BQ84" s="50"/>
      <c r="BR84" s="102" t="s">
        <v>967</v>
      </c>
      <c r="BS84" s="54" t="s">
        <v>29</v>
      </c>
      <c r="BT84" s="45" t="str">
        <f t="shared" si="35"/>
        <v>Yes</v>
      </c>
      <c r="BU84" s="45" t="str">
        <f t="shared" si="36"/>
        <v>Yes</v>
      </c>
      <c r="BV84" s="45" t="str">
        <f t="shared" si="37"/>
        <v>No</v>
      </c>
      <c r="BW84" s="55">
        <f t="shared" si="41"/>
        <v>95.141316376539194</v>
      </c>
      <c r="BX84" s="55"/>
      <c r="BY84" s="55">
        <v>93.211316376539202</v>
      </c>
      <c r="BZ84" s="55"/>
      <c r="CA84" s="45">
        <v>2012</v>
      </c>
      <c r="CB84" s="55">
        <f t="shared" si="38"/>
        <v>14.443802925327176</v>
      </c>
      <c r="CC84" s="46" t="s">
        <v>490</v>
      </c>
      <c r="CD84" s="46" t="s">
        <v>71</v>
      </c>
      <c r="CE84" s="46" t="s">
        <v>783</v>
      </c>
      <c r="CF84" s="46">
        <v>1</v>
      </c>
      <c r="CG84" s="46" t="str">
        <f t="shared" si="39"/>
        <v>No</v>
      </c>
      <c r="CH84" s="46" t="s">
        <v>29</v>
      </c>
      <c r="CI84" s="56">
        <v>150</v>
      </c>
      <c r="CJ84" s="46">
        <v>20</v>
      </c>
      <c r="CK84" s="46">
        <v>150</v>
      </c>
      <c r="CL84" s="49" t="s">
        <v>29</v>
      </c>
      <c r="CM84" s="50">
        <v>0</v>
      </c>
      <c r="CN84" s="50"/>
      <c r="CO84" s="50"/>
      <c r="CP84" s="46" t="s">
        <v>23</v>
      </c>
      <c r="CQ84" s="46" t="s">
        <v>24</v>
      </c>
      <c r="CR84" s="46">
        <v>9</v>
      </c>
      <c r="CS84" s="46" t="s">
        <v>854</v>
      </c>
      <c r="CT84" s="46" t="s">
        <v>856</v>
      </c>
      <c r="CU84" s="46" t="s">
        <v>74</v>
      </c>
      <c r="CV84" s="46" t="s">
        <v>23</v>
      </c>
      <c r="CW84" s="46">
        <v>2</v>
      </c>
      <c r="CX84" s="49" t="s">
        <v>562</v>
      </c>
      <c r="CY84" s="49" t="s">
        <v>36</v>
      </c>
      <c r="CZ84" s="49">
        <v>1</v>
      </c>
      <c r="DA84" s="49">
        <v>1</v>
      </c>
      <c r="DB84" s="64">
        <v>10392</v>
      </c>
      <c r="DC84" s="58">
        <v>45.46</v>
      </c>
      <c r="DD84" s="58">
        <v>2.5299999999999998</v>
      </c>
      <c r="DE84" s="58">
        <v>12.030000000000001</v>
      </c>
      <c r="DF84" s="58">
        <v>35.010000000000005</v>
      </c>
      <c r="DG84" s="58">
        <v>4.9364896073902997</v>
      </c>
      <c r="DH84" s="58">
        <v>54.54</v>
      </c>
      <c r="DI84" s="45" t="s">
        <v>35</v>
      </c>
      <c r="DJ84" s="59" t="str">
        <f t="shared" si="40"/>
        <v>No single majority group</v>
      </c>
      <c r="DK84" s="65">
        <v>10392</v>
      </c>
      <c r="DL84" s="58">
        <v>25.900049317770836</v>
      </c>
      <c r="DM84" s="58">
        <v>31.226368568140721</v>
      </c>
      <c r="DN84" s="58">
        <v>22.077922077922079</v>
      </c>
      <c r="DO84" s="58">
        <v>74.099950682229164</v>
      </c>
      <c r="DP84" s="66">
        <v>53.1</v>
      </c>
      <c r="DQ84" s="67">
        <v>65283</v>
      </c>
      <c r="DR84" s="53">
        <v>20</v>
      </c>
      <c r="DS84" s="58">
        <v>69.5</v>
      </c>
      <c r="DT84" s="53">
        <v>41.9</v>
      </c>
      <c r="DU84" s="55">
        <v>2.29</v>
      </c>
      <c r="DV84" s="50">
        <v>31.1</v>
      </c>
      <c r="DW84" s="53">
        <v>95.5</v>
      </c>
      <c r="DX84" s="53">
        <v>83.46</v>
      </c>
      <c r="DY84" s="53">
        <v>57.501600000000003</v>
      </c>
      <c r="DZ84" s="63"/>
    </row>
    <row r="85" spans="1:130" s="5" customFormat="1" ht="14.25" hidden="1" customHeight="1">
      <c r="A85" s="45">
        <v>1045</v>
      </c>
      <c r="B85" s="47" t="s">
        <v>69</v>
      </c>
      <c r="C85" s="47">
        <v>2014</v>
      </c>
      <c r="D85" s="47" t="s">
        <v>85</v>
      </c>
      <c r="E85" s="46" t="s">
        <v>86</v>
      </c>
      <c r="F85" s="46">
        <v>4</v>
      </c>
      <c r="G85" s="48">
        <v>30000</v>
      </c>
      <c r="H85" s="46" t="s">
        <v>332</v>
      </c>
      <c r="I85" s="46">
        <v>1</v>
      </c>
      <c r="J85" s="46">
        <v>4</v>
      </c>
      <c r="K85" s="49" t="s">
        <v>88</v>
      </c>
      <c r="L85" s="49" t="s">
        <v>40</v>
      </c>
      <c r="M85" s="49" t="s">
        <v>35</v>
      </c>
      <c r="N85" s="49" t="s">
        <v>512</v>
      </c>
      <c r="O85" s="49">
        <v>2014</v>
      </c>
      <c r="P85" s="49" t="s">
        <v>31</v>
      </c>
      <c r="Q85" s="49" t="s">
        <v>29</v>
      </c>
      <c r="R85" s="49">
        <v>2</v>
      </c>
      <c r="S85" s="50">
        <f t="shared" si="30"/>
        <v>50</v>
      </c>
      <c r="T85" s="49">
        <v>0</v>
      </c>
      <c r="U85" s="50">
        <f t="shared" si="31"/>
        <v>0</v>
      </c>
      <c r="V85" s="45"/>
      <c r="W85" s="49">
        <v>0</v>
      </c>
      <c r="X85" s="50">
        <f t="shared" si="32"/>
        <v>0</v>
      </c>
      <c r="Y85" s="51" t="str">
        <f t="shared" si="33"/>
        <v>No</v>
      </c>
      <c r="Z85" s="49" t="s">
        <v>35</v>
      </c>
      <c r="AA85" s="49" t="s">
        <v>23</v>
      </c>
      <c r="AB85" s="49" t="s">
        <v>23</v>
      </c>
      <c r="AC85" s="46" t="s">
        <v>87</v>
      </c>
      <c r="AD85" s="46" t="s">
        <v>27</v>
      </c>
      <c r="AE85" s="46" t="s">
        <v>73</v>
      </c>
      <c r="AF85" s="46" t="s">
        <v>29</v>
      </c>
      <c r="AG85" s="103">
        <v>4964</v>
      </c>
      <c r="AH85" s="52">
        <v>4525</v>
      </c>
      <c r="AI85" s="52">
        <v>4525</v>
      </c>
      <c r="AJ85" s="102">
        <v>29.15</v>
      </c>
      <c r="AK85" s="104">
        <v>58.3</v>
      </c>
      <c r="AL85" s="102">
        <v>50.2</v>
      </c>
      <c r="AM85" s="102">
        <v>50.19</v>
      </c>
      <c r="AN85" s="53">
        <f t="shared" si="34"/>
        <v>100.4</v>
      </c>
      <c r="AO85" s="53">
        <v>26.46</v>
      </c>
      <c r="AP85" s="102">
        <v>429</v>
      </c>
      <c r="AQ85" s="102">
        <v>8.6</v>
      </c>
      <c r="AR85" s="50">
        <v>38</v>
      </c>
      <c r="AS85" s="50">
        <v>0.8</v>
      </c>
      <c r="AT85" s="102"/>
      <c r="AU85" s="102"/>
      <c r="AV85" s="50">
        <v>7</v>
      </c>
      <c r="AW85" s="50">
        <v>0.2</v>
      </c>
      <c r="AX85" s="50">
        <v>415</v>
      </c>
      <c r="AY85" s="50">
        <v>9.1999999999999993</v>
      </c>
      <c r="AZ85" s="102"/>
      <c r="BA85" s="102"/>
      <c r="BB85" s="102"/>
      <c r="BC85" s="102"/>
      <c r="BD85" s="50">
        <v>31</v>
      </c>
      <c r="BE85" s="50">
        <v>0.7</v>
      </c>
      <c r="BF85" s="50">
        <v>476</v>
      </c>
      <c r="BG85" s="50">
        <v>10.5</v>
      </c>
      <c r="BH85" s="102">
        <v>383</v>
      </c>
      <c r="BI85" s="102">
        <v>8.5</v>
      </c>
      <c r="BJ85" s="50">
        <v>0</v>
      </c>
      <c r="BK85" s="50">
        <v>0</v>
      </c>
      <c r="BL85" s="50">
        <v>383</v>
      </c>
      <c r="BM85" s="50">
        <v>8.5</v>
      </c>
      <c r="BN85" s="102"/>
      <c r="BO85" s="50"/>
      <c r="BP85" s="50"/>
      <c r="BQ85" s="50"/>
      <c r="BR85" s="102" t="s">
        <v>967</v>
      </c>
      <c r="BS85" s="54" t="s">
        <v>29</v>
      </c>
      <c r="BT85" s="45" t="str">
        <f t="shared" si="35"/>
        <v>Yes</v>
      </c>
      <c r="BU85" s="45" t="str">
        <f t="shared" si="36"/>
        <v>Yes</v>
      </c>
      <c r="BV85" s="45" t="str">
        <f t="shared" si="37"/>
        <v>Yes</v>
      </c>
      <c r="BW85" s="55">
        <f t="shared" si="41"/>
        <v>95.141316376539194</v>
      </c>
      <c r="BX85" s="55"/>
      <c r="BY85" s="55">
        <v>93.211316376539202</v>
      </c>
      <c r="BZ85" s="55"/>
      <c r="CA85" s="45">
        <v>2012</v>
      </c>
      <c r="CB85" s="55">
        <f t="shared" si="38"/>
        <v>41.739691910340376</v>
      </c>
      <c r="CC85" s="46" t="s">
        <v>490</v>
      </c>
      <c r="CD85" s="46" t="s">
        <v>71</v>
      </c>
      <c r="CE85" s="46" t="s">
        <v>783</v>
      </c>
      <c r="CF85" s="46">
        <v>1</v>
      </c>
      <c r="CG85" s="46" t="str">
        <f t="shared" si="39"/>
        <v>No</v>
      </c>
      <c r="CH85" s="46" t="s">
        <v>29</v>
      </c>
      <c r="CI85" s="56">
        <v>150</v>
      </c>
      <c r="CJ85" s="46">
        <v>20</v>
      </c>
      <c r="CK85" s="46">
        <v>150</v>
      </c>
      <c r="CL85" s="49" t="s">
        <v>29</v>
      </c>
      <c r="CM85" s="50">
        <v>0</v>
      </c>
      <c r="CN85" s="50"/>
      <c r="CO85" s="50"/>
      <c r="CP85" s="46" t="s">
        <v>23</v>
      </c>
      <c r="CQ85" s="46" t="s">
        <v>24</v>
      </c>
      <c r="CR85" s="46">
        <v>9</v>
      </c>
      <c r="CS85" s="46" t="s">
        <v>854</v>
      </c>
      <c r="CT85" s="46" t="s">
        <v>856</v>
      </c>
      <c r="CU85" s="46" t="s">
        <v>74</v>
      </c>
      <c r="CV85" s="46" t="s">
        <v>23</v>
      </c>
      <c r="CW85" s="46">
        <v>2</v>
      </c>
      <c r="CX85" s="49" t="s">
        <v>562</v>
      </c>
      <c r="CY85" s="49" t="s">
        <v>36</v>
      </c>
      <c r="CZ85" s="49">
        <v>1</v>
      </c>
      <c r="DA85" s="49">
        <v>1</v>
      </c>
      <c r="DB85" s="64">
        <v>10841</v>
      </c>
      <c r="DC85" s="58">
        <v>65.55</v>
      </c>
      <c r="DD85" s="58">
        <v>2.77</v>
      </c>
      <c r="DE85" s="58">
        <v>8.23</v>
      </c>
      <c r="DF85" s="58">
        <v>19.830000000000002</v>
      </c>
      <c r="DG85" s="58">
        <v>3.717369246379485</v>
      </c>
      <c r="DH85" s="58">
        <v>34.450000000000003</v>
      </c>
      <c r="DI85" s="45" t="s">
        <v>29</v>
      </c>
      <c r="DJ85" s="59" t="str">
        <f t="shared" si="40"/>
        <v>N/A</v>
      </c>
      <c r="DK85" s="65">
        <v>10841</v>
      </c>
      <c r="DL85" s="58">
        <v>65.55</v>
      </c>
      <c r="DM85" s="58">
        <v>2.77</v>
      </c>
      <c r="DN85" s="58">
        <v>8.23</v>
      </c>
      <c r="DO85" s="58">
        <v>34.450000000000003</v>
      </c>
      <c r="DP85" s="66">
        <v>53.1</v>
      </c>
      <c r="DQ85" s="67">
        <v>65283</v>
      </c>
      <c r="DR85" s="53">
        <v>20</v>
      </c>
      <c r="DS85" s="58">
        <v>69.5</v>
      </c>
      <c r="DT85" s="53">
        <v>41.9</v>
      </c>
      <c r="DU85" s="55">
        <v>2.29</v>
      </c>
      <c r="DV85" s="50">
        <v>31.1</v>
      </c>
      <c r="DW85" s="53">
        <v>95.5</v>
      </c>
      <c r="DX85" s="53">
        <v>83.46</v>
      </c>
      <c r="DY85" s="53">
        <v>57.501600000000003</v>
      </c>
      <c r="DZ85" s="63"/>
    </row>
    <row r="86" spans="1:130" s="5" customFormat="1" ht="14.25" hidden="1" customHeight="1">
      <c r="A86" s="45">
        <v>2008</v>
      </c>
      <c r="B86" s="46" t="s">
        <v>69</v>
      </c>
      <c r="C86" s="47">
        <v>2016</v>
      </c>
      <c r="D86" s="47" t="s">
        <v>21</v>
      </c>
      <c r="E86" s="46" t="s">
        <v>92</v>
      </c>
      <c r="F86" s="46">
        <v>4</v>
      </c>
      <c r="G86" s="34"/>
      <c r="H86" s="46" t="s">
        <v>332</v>
      </c>
      <c r="I86" s="46">
        <v>1</v>
      </c>
      <c r="J86" s="46">
        <v>3</v>
      </c>
      <c r="K86" s="49" t="s">
        <v>3134</v>
      </c>
      <c r="L86" s="49" t="s">
        <v>40</v>
      </c>
      <c r="M86" s="49" t="s">
        <v>35</v>
      </c>
      <c r="N86" s="49" t="s">
        <v>618</v>
      </c>
      <c r="O86" s="49">
        <v>2016</v>
      </c>
      <c r="P86" s="49" t="s">
        <v>201</v>
      </c>
      <c r="Q86" s="49" t="s">
        <v>35</v>
      </c>
      <c r="R86" s="49">
        <v>2</v>
      </c>
      <c r="S86" s="179">
        <v>66.599999999999994</v>
      </c>
      <c r="T86" s="49">
        <v>3</v>
      </c>
      <c r="U86" s="49">
        <v>100</v>
      </c>
      <c r="V86" s="179" t="s">
        <v>861</v>
      </c>
      <c r="W86" s="49">
        <v>2</v>
      </c>
      <c r="X86" s="49">
        <v>66.599999999999994</v>
      </c>
      <c r="Y86" s="179" t="s">
        <v>35</v>
      </c>
      <c r="Z86" s="179" t="s">
        <v>29</v>
      </c>
      <c r="AA86" s="179" t="s">
        <v>35</v>
      </c>
      <c r="AB86" s="179" t="s">
        <v>29</v>
      </c>
      <c r="AC86" s="46" t="s">
        <v>135</v>
      </c>
      <c r="AD86" s="46" t="s">
        <v>27</v>
      </c>
      <c r="AE86" s="46" t="s">
        <v>89</v>
      </c>
      <c r="AF86" s="46" t="s">
        <v>29</v>
      </c>
      <c r="AG86" s="52">
        <v>8123</v>
      </c>
      <c r="AH86" s="52">
        <v>7155</v>
      </c>
      <c r="AI86" s="52">
        <v>7155</v>
      </c>
      <c r="AJ86" s="175">
        <v>31.03</v>
      </c>
      <c r="AK86" s="53">
        <v>62</v>
      </c>
      <c r="AL86" s="175">
        <v>51.25</v>
      </c>
      <c r="AM86" s="175">
        <v>51.25</v>
      </c>
      <c r="AN86" s="179"/>
      <c r="AO86" s="179"/>
      <c r="AP86" s="176">
        <v>968</v>
      </c>
      <c r="AQ86" s="102">
        <v>11.9</v>
      </c>
      <c r="AR86" s="50">
        <v>29</v>
      </c>
      <c r="AS86" s="50">
        <v>0.4</v>
      </c>
      <c r="AT86" s="102"/>
      <c r="AU86" s="102"/>
      <c r="AV86" s="50">
        <v>1</v>
      </c>
      <c r="AW86" s="50">
        <v>0</v>
      </c>
      <c r="AX86" s="176">
        <v>1252</v>
      </c>
      <c r="AY86" s="50">
        <v>17.5</v>
      </c>
      <c r="AZ86" s="176">
        <v>852</v>
      </c>
      <c r="BA86" s="102">
        <v>11.9</v>
      </c>
      <c r="BB86" s="102">
        <v>400</v>
      </c>
      <c r="BC86" s="102">
        <v>5.6</v>
      </c>
      <c r="BD86" s="50">
        <v>36</v>
      </c>
      <c r="BE86" s="50">
        <v>0.5</v>
      </c>
      <c r="BF86" s="50">
        <v>1311</v>
      </c>
      <c r="BG86" s="50">
        <v>18.3</v>
      </c>
      <c r="BH86" s="178">
        <v>403</v>
      </c>
      <c r="BI86" s="92">
        <v>5.6</v>
      </c>
      <c r="BJ86" s="179"/>
      <c r="BK86" s="179"/>
      <c r="BL86" s="50">
        <v>403</v>
      </c>
      <c r="BM86" s="50">
        <v>5.6</v>
      </c>
      <c r="BN86" s="102"/>
      <c r="BO86" s="92"/>
      <c r="BP86" s="92"/>
      <c r="BQ86" s="92"/>
      <c r="BR86" s="92" t="s">
        <v>967</v>
      </c>
      <c r="BS86" s="179" t="s">
        <v>35</v>
      </c>
      <c r="BT86" s="45" t="e">
        <f t="shared" si="35"/>
        <v>#DIV/0!</v>
      </c>
      <c r="BU86" s="45" t="e">
        <f t="shared" si="36"/>
        <v>#DIV/0!</v>
      </c>
      <c r="BV86" s="45" t="str">
        <f t="shared" si="37"/>
        <v>No</v>
      </c>
      <c r="BW86" s="179"/>
      <c r="BX86" s="179"/>
      <c r="BY86" s="179"/>
      <c r="BZ86" s="179"/>
      <c r="CA86" s="179"/>
      <c r="CB86" s="179"/>
      <c r="CC86" s="46" t="s">
        <v>490</v>
      </c>
      <c r="CD86" s="46" t="s">
        <v>71</v>
      </c>
      <c r="CE86" s="46" t="s">
        <v>783</v>
      </c>
      <c r="CF86" s="46">
        <v>1</v>
      </c>
      <c r="CG86" s="179"/>
      <c r="CH86" s="179"/>
      <c r="CI86" s="179"/>
      <c r="CJ86" s="179"/>
      <c r="CK86" s="179"/>
      <c r="CL86" s="179"/>
      <c r="CM86" s="179"/>
      <c r="CN86" s="179"/>
      <c r="CO86" s="179"/>
      <c r="CP86" s="179"/>
      <c r="CQ86" s="179"/>
      <c r="CR86" s="179"/>
      <c r="CS86" s="179"/>
      <c r="CT86" s="179"/>
      <c r="CU86" s="179"/>
      <c r="CV86" s="179"/>
      <c r="CW86" s="179"/>
      <c r="CX86" s="179"/>
      <c r="CY86" s="179"/>
      <c r="CZ86" s="179"/>
      <c r="DA86" s="179"/>
      <c r="DB86" s="179"/>
      <c r="DC86" s="179"/>
      <c r="DD86" s="179"/>
      <c r="DE86" s="179"/>
      <c r="DF86" s="179"/>
      <c r="DG86" s="179"/>
      <c r="DH86" s="179"/>
      <c r="DI86" s="179"/>
      <c r="DJ86" s="179"/>
      <c r="DK86" s="34"/>
      <c r="DL86" s="179"/>
      <c r="DM86" s="179"/>
      <c r="DN86" s="179"/>
      <c r="DO86" s="179"/>
      <c r="DP86" s="179"/>
      <c r="DQ86" s="179"/>
      <c r="DR86" s="179"/>
      <c r="DS86" s="179"/>
      <c r="DT86" s="179"/>
      <c r="DU86" s="179"/>
      <c r="DV86" s="179"/>
      <c r="DW86" s="179"/>
      <c r="DX86" s="179"/>
      <c r="DY86" s="179"/>
      <c r="DZ86" s="8"/>
    </row>
    <row r="87" spans="1:130" s="5" customFormat="1" ht="14.25" hidden="1" customHeight="1">
      <c r="A87" s="45">
        <v>2009</v>
      </c>
      <c r="B87" s="46" t="s">
        <v>69</v>
      </c>
      <c r="C87" s="47">
        <v>2016</v>
      </c>
      <c r="D87" s="47" t="s">
        <v>21</v>
      </c>
      <c r="E87" s="46" t="s">
        <v>95</v>
      </c>
      <c r="F87" s="46">
        <v>4</v>
      </c>
      <c r="G87" s="34"/>
      <c r="H87" s="46" t="s">
        <v>332</v>
      </c>
      <c r="I87" s="46">
        <v>1</v>
      </c>
      <c r="J87" s="46">
        <v>4</v>
      </c>
      <c r="K87" s="49" t="s">
        <v>3135</v>
      </c>
      <c r="L87" s="49" t="s">
        <v>30</v>
      </c>
      <c r="M87" s="49" t="s">
        <v>29</v>
      </c>
      <c r="N87" s="49" t="s">
        <v>512</v>
      </c>
      <c r="O87" s="49">
        <v>2016</v>
      </c>
      <c r="P87" s="49" t="s">
        <v>201</v>
      </c>
      <c r="Q87" s="49" t="s">
        <v>35</v>
      </c>
      <c r="R87" s="49">
        <v>1</v>
      </c>
      <c r="S87" s="179">
        <v>25</v>
      </c>
      <c r="T87" s="179"/>
      <c r="U87" s="179"/>
      <c r="V87" s="179"/>
      <c r="W87" s="179"/>
      <c r="X87" s="179"/>
      <c r="Y87" s="179"/>
      <c r="Z87" s="179" t="s">
        <v>35</v>
      </c>
      <c r="AA87" s="179" t="s">
        <v>29</v>
      </c>
      <c r="AB87" s="179" t="s">
        <v>29</v>
      </c>
      <c r="AC87" s="46" t="s">
        <v>72</v>
      </c>
      <c r="AD87" s="46" t="s">
        <v>27</v>
      </c>
      <c r="AE87" s="46" t="s">
        <v>89</v>
      </c>
      <c r="AF87" s="46" t="s">
        <v>29</v>
      </c>
      <c r="AG87" s="52">
        <v>8276</v>
      </c>
      <c r="AH87" s="52">
        <v>7133</v>
      </c>
      <c r="AI87" s="52">
        <v>7133</v>
      </c>
      <c r="AJ87" s="175">
        <v>57.04</v>
      </c>
      <c r="AK87" s="53">
        <v>114</v>
      </c>
      <c r="AL87" s="175">
        <v>57.04</v>
      </c>
      <c r="AM87" s="175">
        <v>70.599999999999994</v>
      </c>
      <c r="AN87" s="179"/>
      <c r="AO87" s="179"/>
      <c r="AP87" s="177">
        <v>1143</v>
      </c>
      <c r="AQ87" s="102">
        <v>13.8</v>
      </c>
      <c r="AR87" s="102">
        <v>22</v>
      </c>
      <c r="AS87" s="102">
        <v>0.3</v>
      </c>
      <c r="AT87" s="102"/>
      <c r="AU87" s="102"/>
      <c r="AV87" s="179"/>
      <c r="AW87" s="179"/>
      <c r="AX87" s="177">
        <v>961</v>
      </c>
      <c r="AY87" s="102">
        <v>13.5</v>
      </c>
      <c r="AZ87" s="177">
        <v>655</v>
      </c>
      <c r="BA87" s="102">
        <v>9.1999999999999993</v>
      </c>
      <c r="BB87" s="102">
        <v>306</v>
      </c>
      <c r="BC87" s="102">
        <v>4.3</v>
      </c>
      <c r="BD87" s="102">
        <v>46</v>
      </c>
      <c r="BE87" s="102">
        <v>0.6</v>
      </c>
      <c r="BF87" s="102">
        <v>1018</v>
      </c>
      <c r="BG87" s="102">
        <v>14.3</v>
      </c>
      <c r="BH87" s="178"/>
      <c r="BI87" s="179"/>
      <c r="BJ87" s="179"/>
      <c r="BK87" s="179"/>
      <c r="BL87" s="179"/>
      <c r="BM87" s="179"/>
      <c r="BN87" s="102"/>
      <c r="BO87" s="179"/>
      <c r="BP87" s="179"/>
      <c r="BQ87" s="179"/>
      <c r="BR87" s="92" t="s">
        <v>967</v>
      </c>
      <c r="BS87" s="179"/>
      <c r="BT87" s="45" t="e">
        <f t="shared" si="35"/>
        <v>#DIV/0!</v>
      </c>
      <c r="BU87" s="45" t="e">
        <f t="shared" si="36"/>
        <v>#DIV/0!</v>
      </c>
      <c r="BV87" s="45" t="str">
        <f t="shared" si="37"/>
        <v>No</v>
      </c>
      <c r="BW87" s="179"/>
      <c r="BX87" s="179"/>
      <c r="BY87" s="179"/>
      <c r="BZ87" s="179"/>
      <c r="CA87" s="179"/>
      <c r="CB87" s="179"/>
      <c r="CC87" s="46" t="s">
        <v>490</v>
      </c>
      <c r="CD87" s="46" t="s">
        <v>71</v>
      </c>
      <c r="CE87" s="46" t="s">
        <v>783</v>
      </c>
      <c r="CF87" s="46">
        <v>1</v>
      </c>
      <c r="CG87" s="179"/>
      <c r="CH87" s="179"/>
      <c r="CI87" s="179"/>
      <c r="CJ87" s="179"/>
      <c r="CK87" s="179"/>
      <c r="CL87" s="179"/>
      <c r="CM87" s="179"/>
      <c r="CN87" s="179"/>
      <c r="CO87" s="179"/>
      <c r="CP87" s="179"/>
      <c r="CQ87" s="179"/>
      <c r="CR87" s="179"/>
      <c r="CS87" s="179"/>
      <c r="CT87" s="179"/>
      <c r="CU87" s="179"/>
      <c r="CV87" s="179"/>
      <c r="CW87" s="179"/>
      <c r="CX87" s="179"/>
      <c r="CY87" s="179"/>
      <c r="CZ87" s="179"/>
      <c r="DA87" s="179"/>
      <c r="DB87" s="179"/>
      <c r="DC87" s="179"/>
      <c r="DD87" s="179"/>
      <c r="DE87" s="179"/>
      <c r="DF87" s="179"/>
      <c r="DG87" s="179"/>
      <c r="DH87" s="179"/>
      <c r="DI87" s="179"/>
      <c r="DJ87" s="179"/>
      <c r="DK87" s="34"/>
      <c r="DL87" s="179"/>
      <c r="DM87" s="179"/>
      <c r="DN87" s="179"/>
      <c r="DO87" s="179"/>
      <c r="DP87" s="179"/>
      <c r="DQ87" s="179"/>
      <c r="DR87" s="179"/>
      <c r="DS87" s="179"/>
      <c r="DT87" s="179"/>
      <c r="DU87" s="179"/>
      <c r="DV87" s="179"/>
      <c r="DW87" s="179"/>
      <c r="DX87" s="179"/>
      <c r="DY87" s="179"/>
      <c r="DZ87" s="8"/>
    </row>
    <row r="88" spans="1:130" s="5" customFormat="1" ht="14.25" hidden="1" customHeight="1">
      <c r="A88" s="45">
        <v>2010</v>
      </c>
      <c r="B88" s="46" t="s">
        <v>69</v>
      </c>
      <c r="C88" s="47">
        <v>2016</v>
      </c>
      <c r="D88" s="47" t="s">
        <v>21</v>
      </c>
      <c r="E88" s="46" t="s">
        <v>98</v>
      </c>
      <c r="F88" s="46">
        <v>4</v>
      </c>
      <c r="G88" s="34"/>
      <c r="H88" s="46" t="s">
        <v>332</v>
      </c>
      <c r="I88" s="46">
        <v>1</v>
      </c>
      <c r="J88" s="46">
        <v>2</v>
      </c>
      <c r="K88" s="49" t="s">
        <v>1266</v>
      </c>
      <c r="L88" s="49" t="s">
        <v>40</v>
      </c>
      <c r="M88" s="49" t="s">
        <v>35</v>
      </c>
      <c r="N88" s="63" t="s">
        <v>3141</v>
      </c>
      <c r="O88" s="63">
        <v>2016</v>
      </c>
      <c r="P88" s="49" t="s">
        <v>31</v>
      </c>
      <c r="Q88" s="49" t="s">
        <v>29</v>
      </c>
      <c r="R88" s="49">
        <v>1</v>
      </c>
      <c r="S88" s="179">
        <v>50</v>
      </c>
      <c r="T88" s="49">
        <v>0</v>
      </c>
      <c r="U88" s="49">
        <v>0</v>
      </c>
      <c r="V88" s="179"/>
      <c r="W88" s="49">
        <v>0</v>
      </c>
      <c r="X88" s="49">
        <v>0</v>
      </c>
      <c r="Y88" s="179" t="s">
        <v>29</v>
      </c>
      <c r="Z88" s="179" t="s">
        <v>35</v>
      </c>
      <c r="AA88" s="179" t="s">
        <v>29</v>
      </c>
      <c r="AB88" s="179" t="s">
        <v>29</v>
      </c>
      <c r="AC88" s="46" t="s">
        <v>72</v>
      </c>
      <c r="AD88" s="46" t="s">
        <v>27</v>
      </c>
      <c r="AE88" s="46" t="s">
        <v>89</v>
      </c>
      <c r="AF88" s="46" t="s">
        <v>29</v>
      </c>
      <c r="AG88" s="52">
        <v>10247</v>
      </c>
      <c r="AH88" s="52">
        <v>9327</v>
      </c>
      <c r="AI88" s="52">
        <v>9327</v>
      </c>
      <c r="AJ88" s="175">
        <v>62.44</v>
      </c>
      <c r="AK88" s="53">
        <v>124.8</v>
      </c>
      <c r="AL88" s="175">
        <v>62.4</v>
      </c>
      <c r="AM88" s="175">
        <v>62.4</v>
      </c>
      <c r="AN88" s="179"/>
      <c r="AO88" s="179"/>
      <c r="AP88" s="177">
        <v>920</v>
      </c>
      <c r="AQ88" s="102">
        <v>9</v>
      </c>
      <c r="AR88" s="102">
        <v>11</v>
      </c>
      <c r="AS88" s="102">
        <v>0.1</v>
      </c>
      <c r="AT88" s="102"/>
      <c r="AU88" s="102"/>
      <c r="AV88" s="179"/>
      <c r="AW88" s="179"/>
      <c r="AX88" s="177">
        <v>2522</v>
      </c>
      <c r="AY88" s="102">
        <v>27</v>
      </c>
      <c r="AZ88" s="177">
        <v>1695</v>
      </c>
      <c r="BA88" s="102">
        <v>18.2</v>
      </c>
      <c r="BB88" s="102">
        <v>827</v>
      </c>
      <c r="BC88" s="102">
        <v>8.9</v>
      </c>
      <c r="BD88" s="102">
        <v>62</v>
      </c>
      <c r="BE88" s="102">
        <v>0.7</v>
      </c>
      <c r="BF88" s="102">
        <v>2582</v>
      </c>
      <c r="BG88" s="102">
        <v>27.7</v>
      </c>
      <c r="BH88" s="178"/>
      <c r="BI88" s="179"/>
      <c r="BJ88" s="179"/>
      <c r="BK88" s="179"/>
      <c r="BL88" s="179"/>
      <c r="BM88" s="179"/>
      <c r="BN88" s="102"/>
      <c r="BO88" s="179"/>
      <c r="BP88" s="179"/>
      <c r="BQ88" s="179"/>
      <c r="BR88" s="92" t="s">
        <v>967</v>
      </c>
      <c r="BS88" s="179"/>
      <c r="BT88" s="45" t="e">
        <f t="shared" si="35"/>
        <v>#DIV/0!</v>
      </c>
      <c r="BU88" s="45" t="e">
        <f t="shared" si="36"/>
        <v>#DIV/0!</v>
      </c>
      <c r="BV88" s="45" t="str">
        <f t="shared" si="37"/>
        <v>No</v>
      </c>
      <c r="BW88" s="179"/>
      <c r="BX88" s="179"/>
      <c r="BY88" s="179"/>
      <c r="BZ88" s="179"/>
      <c r="CA88" s="179"/>
      <c r="CB88" s="179"/>
      <c r="CC88" s="46" t="s">
        <v>490</v>
      </c>
      <c r="CD88" s="46" t="s">
        <v>71</v>
      </c>
      <c r="CE88" s="46" t="s">
        <v>783</v>
      </c>
      <c r="CF88" s="46">
        <v>1</v>
      </c>
      <c r="CG88" s="179"/>
      <c r="CH88" s="179"/>
      <c r="CI88" s="179"/>
      <c r="CJ88" s="179"/>
      <c r="CK88" s="179"/>
      <c r="CL88" s="179"/>
      <c r="CM88" s="179"/>
      <c r="CN88" s="179"/>
      <c r="CO88" s="179"/>
      <c r="CP88" s="179"/>
      <c r="CQ88" s="179"/>
      <c r="CR88" s="179"/>
      <c r="CS88" s="179"/>
      <c r="CT88" s="179"/>
      <c r="CU88" s="179"/>
      <c r="CV88" s="179"/>
      <c r="CW88" s="179"/>
      <c r="CX88" s="179"/>
      <c r="CY88" s="179"/>
      <c r="CZ88" s="179"/>
      <c r="DA88" s="179"/>
      <c r="DB88" s="179"/>
      <c r="DC88" s="179"/>
      <c r="DD88" s="179"/>
      <c r="DE88" s="179"/>
      <c r="DF88" s="179"/>
      <c r="DG88" s="179"/>
      <c r="DH88" s="179"/>
      <c r="DI88" s="179"/>
      <c r="DJ88" s="179"/>
      <c r="DK88" s="34"/>
      <c r="DL88" s="179"/>
      <c r="DM88" s="179"/>
      <c r="DN88" s="179"/>
      <c r="DO88" s="179"/>
      <c r="DP88" s="179"/>
      <c r="DQ88" s="179"/>
      <c r="DR88" s="179"/>
      <c r="DS88" s="179"/>
      <c r="DT88" s="179"/>
      <c r="DU88" s="179"/>
      <c r="DV88" s="179"/>
      <c r="DW88" s="179"/>
      <c r="DX88" s="179"/>
      <c r="DY88" s="179"/>
      <c r="DZ88" s="8"/>
    </row>
    <row r="89" spans="1:130" s="5" customFormat="1" ht="14.25" hidden="1" customHeight="1">
      <c r="A89" s="45">
        <v>2011</v>
      </c>
      <c r="B89" s="46" t="s">
        <v>69</v>
      </c>
      <c r="C89" s="47">
        <v>2016</v>
      </c>
      <c r="D89" s="47" t="s">
        <v>21</v>
      </c>
      <c r="E89" s="46" t="s">
        <v>101</v>
      </c>
      <c r="F89" s="46">
        <v>4</v>
      </c>
      <c r="G89" s="34"/>
      <c r="H89" s="46" t="s">
        <v>332</v>
      </c>
      <c r="I89" s="46">
        <v>1</v>
      </c>
      <c r="J89" s="46">
        <v>3</v>
      </c>
      <c r="K89" s="49" t="s">
        <v>102</v>
      </c>
      <c r="L89" s="49" t="s">
        <v>40</v>
      </c>
      <c r="M89" s="49" t="s">
        <v>35</v>
      </c>
      <c r="N89" s="49" t="s">
        <v>513</v>
      </c>
      <c r="O89" s="49">
        <v>2008</v>
      </c>
      <c r="P89" s="49" t="s">
        <v>31</v>
      </c>
      <c r="Q89" s="49" t="s">
        <v>29</v>
      </c>
      <c r="R89" s="49">
        <v>2</v>
      </c>
      <c r="S89" s="179">
        <v>66.599999999999994</v>
      </c>
      <c r="T89" s="179"/>
      <c r="U89" s="179"/>
      <c r="V89" s="179"/>
      <c r="W89" s="179"/>
      <c r="X89" s="179"/>
      <c r="Y89" s="179" t="s">
        <v>29</v>
      </c>
      <c r="Z89" s="179" t="s">
        <v>29</v>
      </c>
      <c r="AA89" s="179" t="s">
        <v>29</v>
      </c>
      <c r="AB89" s="179" t="s">
        <v>35</v>
      </c>
      <c r="AC89" s="46" t="s">
        <v>72</v>
      </c>
      <c r="AD89" s="46" t="s">
        <v>27</v>
      </c>
      <c r="AE89" s="46" t="s">
        <v>89</v>
      </c>
      <c r="AF89" s="46" t="s">
        <v>29</v>
      </c>
      <c r="AG89" s="52">
        <v>8478</v>
      </c>
      <c r="AH89" s="52">
        <v>7467</v>
      </c>
      <c r="AI89" s="52">
        <v>7467</v>
      </c>
      <c r="AJ89" s="175">
        <v>58.4</v>
      </c>
      <c r="AK89" s="174">
        <v>116.8</v>
      </c>
      <c r="AL89" s="175">
        <v>58.4</v>
      </c>
      <c r="AM89" s="52">
        <v>65</v>
      </c>
      <c r="AN89" s="179"/>
      <c r="AO89" s="179"/>
      <c r="AP89" s="177">
        <v>1011</v>
      </c>
      <c r="AQ89" s="102">
        <v>11.9</v>
      </c>
      <c r="AR89" s="102">
        <v>13</v>
      </c>
      <c r="AS89" s="102">
        <v>0.2</v>
      </c>
      <c r="AT89" s="102"/>
      <c r="AU89" s="102"/>
      <c r="AV89" s="179"/>
      <c r="AW89" s="179"/>
      <c r="AX89" s="177">
        <v>952</v>
      </c>
      <c r="AY89" s="102">
        <v>12.7</v>
      </c>
      <c r="AZ89" s="177">
        <v>705</v>
      </c>
      <c r="BA89" s="102">
        <v>9.4</v>
      </c>
      <c r="BB89" s="102">
        <v>247</v>
      </c>
      <c r="BC89" s="102">
        <v>3.3</v>
      </c>
      <c r="BD89" s="102">
        <v>45</v>
      </c>
      <c r="BE89" s="102">
        <v>0.6</v>
      </c>
      <c r="BF89" s="102">
        <v>1004</v>
      </c>
      <c r="BG89" s="102">
        <v>13.4</v>
      </c>
      <c r="BH89" s="178"/>
      <c r="BI89" s="179"/>
      <c r="BJ89" s="179"/>
      <c r="BK89" s="179"/>
      <c r="BL89" s="179"/>
      <c r="BM89" s="179"/>
      <c r="BN89" s="102"/>
      <c r="BO89" s="179"/>
      <c r="BP89" s="179"/>
      <c r="BQ89" s="179"/>
      <c r="BR89" s="92" t="s">
        <v>967</v>
      </c>
      <c r="BS89" s="179"/>
      <c r="BT89" s="45" t="e">
        <f t="shared" si="35"/>
        <v>#DIV/0!</v>
      </c>
      <c r="BU89" s="45" t="e">
        <f t="shared" si="36"/>
        <v>#DIV/0!</v>
      </c>
      <c r="BV89" s="45" t="str">
        <f t="shared" si="37"/>
        <v>No</v>
      </c>
      <c r="BW89" s="179"/>
      <c r="BX89" s="179"/>
      <c r="BY89" s="179"/>
      <c r="BZ89" s="179"/>
      <c r="CA89" s="179"/>
      <c r="CB89" s="179"/>
      <c r="CC89" s="46" t="s">
        <v>490</v>
      </c>
      <c r="CD89" s="46" t="s">
        <v>71</v>
      </c>
      <c r="CE89" s="46" t="s">
        <v>783</v>
      </c>
      <c r="CF89" s="46">
        <v>1</v>
      </c>
      <c r="CG89" s="179"/>
      <c r="CH89" s="179"/>
      <c r="CI89" s="179"/>
      <c r="CJ89" s="179"/>
      <c r="CK89" s="179"/>
      <c r="CL89" s="179"/>
      <c r="CM89" s="179"/>
      <c r="CN89" s="179"/>
      <c r="CO89" s="179"/>
      <c r="CP89" s="179"/>
      <c r="CQ89" s="179"/>
      <c r="CR89" s="179"/>
      <c r="CS89" s="179"/>
      <c r="CT89" s="179"/>
      <c r="CU89" s="179"/>
      <c r="CV89" s="179"/>
      <c r="CW89" s="179"/>
      <c r="CX89" s="179"/>
      <c r="CY89" s="179"/>
      <c r="CZ89" s="179"/>
      <c r="DA89" s="179"/>
      <c r="DB89" s="179"/>
      <c r="DC89" s="179"/>
      <c r="DD89" s="179"/>
      <c r="DE89" s="179"/>
      <c r="DF89" s="179"/>
      <c r="DG89" s="179"/>
      <c r="DH89" s="179"/>
      <c r="DI89" s="179"/>
      <c r="DJ89" s="179"/>
      <c r="DK89" s="34"/>
      <c r="DL89" s="179"/>
      <c r="DM89" s="179"/>
      <c r="DN89" s="179"/>
      <c r="DO89" s="179"/>
      <c r="DP89" s="179"/>
      <c r="DQ89" s="179"/>
      <c r="DR89" s="179"/>
      <c r="DS89" s="179"/>
      <c r="DT89" s="179"/>
      <c r="DU89" s="179"/>
      <c r="DV89" s="179"/>
      <c r="DW89" s="179"/>
      <c r="DX89" s="179"/>
      <c r="DY89" s="179"/>
      <c r="DZ89" s="8"/>
    </row>
    <row r="90" spans="1:130" s="5" customFormat="1" ht="14.25" hidden="1" customHeight="1">
      <c r="A90" s="45">
        <v>2007</v>
      </c>
      <c r="B90" s="46" t="s">
        <v>69</v>
      </c>
      <c r="C90" s="47">
        <v>2016</v>
      </c>
      <c r="D90" s="47" t="s">
        <v>38</v>
      </c>
      <c r="E90" s="46" t="s">
        <v>22</v>
      </c>
      <c r="F90" s="46">
        <v>4</v>
      </c>
      <c r="G90" s="34"/>
      <c r="H90" s="46" t="s">
        <v>249</v>
      </c>
      <c r="I90" s="46">
        <v>1</v>
      </c>
      <c r="J90" s="46">
        <v>8</v>
      </c>
      <c r="K90" s="49" t="s">
        <v>81</v>
      </c>
      <c r="L90" s="49" t="s">
        <v>30</v>
      </c>
      <c r="M90" s="49" t="s">
        <v>29</v>
      </c>
      <c r="N90" s="49" t="s">
        <v>512</v>
      </c>
      <c r="O90" s="49">
        <v>2016</v>
      </c>
      <c r="P90" s="49" t="s">
        <v>857</v>
      </c>
      <c r="Q90" s="49" t="s">
        <v>35</v>
      </c>
      <c r="R90" s="49">
        <v>2</v>
      </c>
      <c r="S90" s="179">
        <v>25</v>
      </c>
      <c r="T90" s="179"/>
      <c r="U90" s="179"/>
      <c r="V90" s="179"/>
      <c r="W90" s="179"/>
      <c r="X90" s="179"/>
      <c r="Y90" s="179" t="s">
        <v>29</v>
      </c>
      <c r="Z90" s="179" t="s">
        <v>35</v>
      </c>
      <c r="AA90" s="179" t="s">
        <v>29</v>
      </c>
      <c r="AB90" s="179" t="s">
        <v>29</v>
      </c>
      <c r="AC90" s="46" t="s">
        <v>114</v>
      </c>
      <c r="AD90" s="46" t="s">
        <v>27</v>
      </c>
      <c r="AE90" s="46" t="s">
        <v>89</v>
      </c>
      <c r="AF90" s="46" t="s">
        <v>29</v>
      </c>
      <c r="AG90" s="52">
        <v>63744</v>
      </c>
      <c r="AH90" s="52">
        <v>59345</v>
      </c>
      <c r="AI90" s="52">
        <v>59345</v>
      </c>
      <c r="AJ90" s="175">
        <v>49.1</v>
      </c>
      <c r="AK90" s="53">
        <v>98.2</v>
      </c>
      <c r="AL90" s="175">
        <v>50.39</v>
      </c>
      <c r="AM90" s="52">
        <v>61</v>
      </c>
      <c r="AN90" s="179"/>
      <c r="AO90" s="179"/>
      <c r="AP90" s="176">
        <v>4399</v>
      </c>
      <c r="AQ90" s="102">
        <v>6.9</v>
      </c>
      <c r="AR90" s="102">
        <v>378</v>
      </c>
      <c r="AS90" s="102">
        <v>0.6</v>
      </c>
      <c r="AT90" s="102"/>
      <c r="AU90" s="102"/>
      <c r="AV90" s="102">
        <v>9</v>
      </c>
      <c r="AW90" s="102">
        <v>0</v>
      </c>
      <c r="AX90" s="176">
        <v>6632</v>
      </c>
      <c r="AY90" s="102">
        <v>11.2</v>
      </c>
      <c r="AZ90" s="176">
        <v>4443</v>
      </c>
      <c r="BA90" s="102">
        <v>7.5</v>
      </c>
      <c r="BB90" s="102">
        <v>2189</v>
      </c>
      <c r="BC90" s="102">
        <v>3.7</v>
      </c>
      <c r="BD90" s="102">
        <v>275</v>
      </c>
      <c r="BE90" s="102">
        <v>0.5</v>
      </c>
      <c r="BF90" s="102">
        <v>7201</v>
      </c>
      <c r="BG90" s="102">
        <v>12.1</v>
      </c>
      <c r="BH90" s="178">
        <v>599</v>
      </c>
      <c r="BI90" s="92">
        <v>1</v>
      </c>
      <c r="BJ90" s="102">
        <v>25</v>
      </c>
      <c r="BK90" s="102">
        <v>0</v>
      </c>
      <c r="BL90" s="102">
        <v>565</v>
      </c>
      <c r="BM90" s="102">
        <v>1</v>
      </c>
      <c r="BN90" s="102"/>
      <c r="BO90" s="92"/>
      <c r="BP90" s="92"/>
      <c r="BQ90" s="92"/>
      <c r="BR90" s="92" t="s">
        <v>967</v>
      </c>
      <c r="BS90" s="179"/>
      <c r="BT90" s="45" t="e">
        <f t="shared" si="35"/>
        <v>#DIV/0!</v>
      </c>
      <c r="BU90" s="45" t="e">
        <f t="shared" si="36"/>
        <v>#DIV/0!</v>
      </c>
      <c r="BV90" s="45" t="str">
        <f t="shared" si="37"/>
        <v>No</v>
      </c>
      <c r="BW90" s="179"/>
      <c r="BX90" s="179"/>
      <c r="BY90" s="179"/>
      <c r="BZ90" s="179"/>
      <c r="CA90" s="179"/>
      <c r="CB90" s="179"/>
      <c r="CC90" s="46" t="s">
        <v>490</v>
      </c>
      <c r="CD90" s="46" t="s">
        <v>71</v>
      </c>
      <c r="CE90" s="46" t="s">
        <v>783</v>
      </c>
      <c r="CF90" s="46">
        <v>1</v>
      </c>
      <c r="CG90" s="179"/>
      <c r="CH90" s="179"/>
      <c r="CI90" s="179"/>
      <c r="CJ90" s="179"/>
      <c r="CK90" s="179"/>
      <c r="CL90" s="179"/>
      <c r="CM90" s="179"/>
      <c r="CN90" s="179"/>
      <c r="CO90" s="179"/>
      <c r="CP90" s="179"/>
      <c r="CQ90" s="179"/>
      <c r="CR90" s="179"/>
      <c r="CS90" s="179"/>
      <c r="CT90" s="179"/>
      <c r="CU90" s="179"/>
      <c r="CV90" s="179"/>
      <c r="CW90" s="179"/>
      <c r="CX90" s="179"/>
      <c r="CY90" s="179"/>
      <c r="CZ90" s="179"/>
      <c r="DA90" s="179"/>
      <c r="DB90" s="179"/>
      <c r="DC90" s="179"/>
      <c r="DD90" s="179"/>
      <c r="DE90" s="179"/>
      <c r="DF90" s="179"/>
      <c r="DG90" s="179"/>
      <c r="DH90" s="179"/>
      <c r="DI90" s="179"/>
      <c r="DJ90" s="179"/>
      <c r="DK90" s="34"/>
      <c r="DL90" s="179"/>
      <c r="DM90" s="179"/>
      <c r="DN90" s="179"/>
      <c r="DO90" s="179"/>
      <c r="DP90" s="179"/>
      <c r="DQ90" s="179"/>
      <c r="DR90" s="179"/>
      <c r="DS90" s="179"/>
      <c r="DT90" s="179"/>
      <c r="DU90" s="179"/>
      <c r="DV90" s="179"/>
      <c r="DW90" s="179"/>
      <c r="DX90" s="179"/>
      <c r="DY90" s="179"/>
      <c r="DZ90" s="8"/>
    </row>
    <row r="91" spans="1:130" s="5" customFormat="1" ht="14.25" hidden="1" customHeight="1">
      <c r="A91" s="45">
        <v>1145</v>
      </c>
      <c r="B91" s="46" t="s">
        <v>110</v>
      </c>
      <c r="C91" s="47">
        <v>2000</v>
      </c>
      <c r="D91" s="47" t="s">
        <v>124</v>
      </c>
      <c r="E91" s="46" t="s">
        <v>22</v>
      </c>
      <c r="F91" s="46">
        <v>4</v>
      </c>
      <c r="G91" s="48">
        <v>210000</v>
      </c>
      <c r="H91" s="46" t="s">
        <v>249</v>
      </c>
      <c r="I91" s="46">
        <v>1</v>
      </c>
      <c r="J91" s="46">
        <v>2</v>
      </c>
      <c r="K91" s="49" t="s">
        <v>153</v>
      </c>
      <c r="L91" s="49" t="s">
        <v>30</v>
      </c>
      <c r="M91" s="49" t="s">
        <v>29</v>
      </c>
      <c r="N91" s="49" t="s">
        <v>512</v>
      </c>
      <c r="O91" s="49"/>
      <c r="P91" s="49" t="s">
        <v>31</v>
      </c>
      <c r="Q91" s="49" t="s">
        <v>29</v>
      </c>
      <c r="R91" s="49">
        <v>1</v>
      </c>
      <c r="S91" s="50">
        <f t="shared" ref="S91:S122" si="42">(R91/J91)*100</f>
        <v>50</v>
      </c>
      <c r="T91" s="49">
        <v>1</v>
      </c>
      <c r="U91" s="50">
        <f t="shared" ref="U91:U122" si="43">(T91/J91)*100</f>
        <v>50</v>
      </c>
      <c r="V91" s="49" t="s">
        <v>858</v>
      </c>
      <c r="W91" s="49">
        <v>1</v>
      </c>
      <c r="X91" s="50">
        <f t="shared" ref="X91:X122" si="44">(W91/J91)*100</f>
        <v>50</v>
      </c>
      <c r="Y91" s="51" t="str">
        <f t="shared" ref="Y91:Y122" si="45">IF(L91="M","No", IF(P91="n/a","No",IF(P91="white","No","Yes")))</f>
        <v>No</v>
      </c>
      <c r="Z91" s="45" t="s">
        <v>35</v>
      </c>
      <c r="AA91" s="49" t="s">
        <v>23</v>
      </c>
      <c r="AB91" s="49" t="s">
        <v>23</v>
      </c>
      <c r="AC91" s="46" t="s">
        <v>151</v>
      </c>
      <c r="AD91" s="46" t="s">
        <v>168</v>
      </c>
      <c r="AE91" s="46" t="s">
        <v>89</v>
      </c>
      <c r="AF91" s="46" t="s">
        <v>29</v>
      </c>
      <c r="AG91" s="107"/>
      <c r="AH91" s="70">
        <f>SUM(39037+35850)</f>
        <v>74887</v>
      </c>
      <c r="AI91" s="70">
        <f>SUM(39037+35850)</f>
        <v>74887</v>
      </c>
      <c r="AJ91" s="102">
        <v>52.1</v>
      </c>
      <c r="AK91" s="104">
        <v>104.2</v>
      </c>
      <c r="AL91" s="102">
        <v>52.1</v>
      </c>
      <c r="AM91" s="102"/>
      <c r="AN91" s="53">
        <f t="shared" ref="AN91:AN122" si="46">AL91/(1/(I91+1))</f>
        <v>104.2</v>
      </c>
      <c r="AO91" s="53">
        <v>47.8</v>
      </c>
      <c r="AP91" s="102"/>
      <c r="AQ91" s="102"/>
      <c r="AR91" s="102"/>
      <c r="AS91" s="102"/>
      <c r="AT91" s="102"/>
      <c r="AU91" s="102"/>
      <c r="AV91" s="102"/>
      <c r="AW91" s="102"/>
      <c r="AX91" s="102"/>
      <c r="AY91" s="102"/>
      <c r="AZ91" s="102"/>
      <c r="BA91" s="102"/>
      <c r="BB91" s="102"/>
      <c r="BC91" s="102"/>
      <c r="BD91" s="102"/>
      <c r="BE91" s="102"/>
      <c r="BF91" s="102"/>
      <c r="BG91" s="102"/>
      <c r="BH91" s="102"/>
      <c r="BI91" s="102"/>
      <c r="BJ91" s="102"/>
      <c r="BK91" s="102"/>
      <c r="BL91" s="102"/>
      <c r="BM91" s="102"/>
      <c r="BN91" s="102"/>
      <c r="BO91" s="102"/>
      <c r="BP91" s="102"/>
      <c r="BQ91" s="102"/>
      <c r="BR91" s="102"/>
      <c r="BS91" s="54" t="s">
        <v>29</v>
      </c>
      <c r="BT91" s="45" t="str">
        <f t="shared" si="35"/>
        <v>Yes</v>
      </c>
      <c r="BU91" s="45" t="str">
        <f t="shared" si="36"/>
        <v>Yes</v>
      </c>
      <c r="BV91" s="45" t="str">
        <f t="shared" si="37"/>
        <v>Yes</v>
      </c>
      <c r="BW91" s="55">
        <v>87.726444032874198</v>
      </c>
      <c r="BX91" s="55">
        <v>87.726444032874198</v>
      </c>
      <c r="BY91" s="55">
        <v>87.471444032874174</v>
      </c>
      <c r="BZ91" s="55">
        <f>BX91-(0.0051*100/2)</f>
        <v>87.471444032874203</v>
      </c>
      <c r="CA91" s="45">
        <v>2000</v>
      </c>
      <c r="CB91" s="55">
        <f t="shared" ref="CB91:CB122" si="47">((AI91/I91)/DB91)*100</f>
        <v>31.011677985754517</v>
      </c>
      <c r="CC91" s="46" t="s">
        <v>150</v>
      </c>
      <c r="CD91" s="46" t="s">
        <v>151</v>
      </c>
      <c r="CE91" s="46" t="s">
        <v>783</v>
      </c>
      <c r="CF91" s="46">
        <v>2</v>
      </c>
      <c r="CG91" s="46" t="str">
        <f t="shared" ref="CG91:CG122" si="48">IF(CD91="Primary (decisive)", "Yes", "No")</f>
        <v>Yes</v>
      </c>
      <c r="CH91" s="46" t="s">
        <v>29</v>
      </c>
      <c r="CI91" s="56">
        <v>300</v>
      </c>
      <c r="CJ91" s="46">
        <v>50</v>
      </c>
      <c r="CK91" s="46" t="s">
        <v>23</v>
      </c>
      <c r="CL91" s="49" t="s">
        <v>29</v>
      </c>
      <c r="CM91" s="50">
        <v>0</v>
      </c>
      <c r="CN91" s="50"/>
      <c r="CO91" s="50"/>
      <c r="CP91" s="46" t="s">
        <v>23</v>
      </c>
      <c r="CQ91" s="46" t="s">
        <v>23</v>
      </c>
      <c r="CR91" s="46">
        <v>7</v>
      </c>
      <c r="CS91" s="46" t="s">
        <v>855</v>
      </c>
      <c r="CT91" s="71" t="s">
        <v>53</v>
      </c>
      <c r="CU91" s="46" t="s">
        <v>74</v>
      </c>
      <c r="CV91" s="46">
        <v>3</v>
      </c>
      <c r="CW91" s="46" t="s">
        <v>23</v>
      </c>
      <c r="CX91" s="49" t="s">
        <v>743</v>
      </c>
      <c r="CY91" s="49" t="s">
        <v>51</v>
      </c>
      <c r="CZ91" s="49">
        <v>0</v>
      </c>
      <c r="DA91" s="49">
        <v>1</v>
      </c>
      <c r="DB91" s="64">
        <v>241480</v>
      </c>
      <c r="DC91" s="58">
        <v>32.800000000000004</v>
      </c>
      <c r="DD91" s="58">
        <v>40.949999999999996</v>
      </c>
      <c r="DE91" s="58">
        <v>9.59</v>
      </c>
      <c r="DF91" s="58">
        <v>12.3</v>
      </c>
      <c r="DG91" s="58">
        <v>4.3599999999999977</v>
      </c>
      <c r="DH91" s="58">
        <v>67.199999999999989</v>
      </c>
      <c r="DI91" s="45" t="s">
        <v>35</v>
      </c>
      <c r="DJ91" s="59" t="str">
        <f t="shared" ref="DJ91:DJ122" si="49">IF(DH91&lt;50,"N/A",IF(DD91&gt;50,"African American",IF(DE91&gt;50,"Latino",IF(DF91&gt;50,"Asian","No single majority group"))))</f>
        <v>No single majority group</v>
      </c>
      <c r="DK91" s="65">
        <v>241480</v>
      </c>
      <c r="DL91" s="58">
        <v>32.800000000000004</v>
      </c>
      <c r="DM91" s="58">
        <v>40.949999999999996</v>
      </c>
      <c r="DN91" s="58">
        <v>9.59</v>
      </c>
      <c r="DO91" s="58">
        <v>67.199999999999989</v>
      </c>
      <c r="DP91" s="66">
        <v>51.7</v>
      </c>
      <c r="DQ91" s="67">
        <v>55066.55</v>
      </c>
      <c r="DR91" s="53">
        <v>19.399999999999999</v>
      </c>
      <c r="DS91" s="58">
        <v>69.099999999999994</v>
      </c>
      <c r="DT91" s="53">
        <v>41.4</v>
      </c>
      <c r="DU91" s="55">
        <v>2.6</v>
      </c>
      <c r="DV91" s="50">
        <v>33.299999999999997</v>
      </c>
      <c r="DW91" s="53">
        <v>73.900000000000006</v>
      </c>
      <c r="DX91" s="53">
        <v>85.620599999999996</v>
      </c>
      <c r="DY91" s="53">
        <v>42.246299999999998</v>
      </c>
      <c r="DZ91" s="63"/>
    </row>
    <row r="92" spans="1:130" s="5" customFormat="1" ht="14.25" hidden="1" customHeight="1">
      <c r="A92" s="45">
        <v>1146</v>
      </c>
      <c r="B92" s="46" t="s">
        <v>110</v>
      </c>
      <c r="C92" s="47">
        <v>2000</v>
      </c>
      <c r="D92" s="47" t="s">
        <v>154</v>
      </c>
      <c r="E92" s="46" t="s">
        <v>22</v>
      </c>
      <c r="F92" s="46">
        <v>4</v>
      </c>
      <c r="G92" s="48">
        <v>82204</v>
      </c>
      <c r="H92" s="46" t="s">
        <v>249</v>
      </c>
      <c r="I92" s="46">
        <v>1</v>
      </c>
      <c r="J92" s="46">
        <v>5</v>
      </c>
      <c r="K92" s="49" t="s">
        <v>165</v>
      </c>
      <c r="L92" s="49" t="s">
        <v>30</v>
      </c>
      <c r="M92" s="49" t="s">
        <v>29</v>
      </c>
      <c r="N92" s="49" t="s">
        <v>513</v>
      </c>
      <c r="O92" s="49"/>
      <c r="P92" s="49" t="s">
        <v>34</v>
      </c>
      <c r="Q92" s="49" t="s">
        <v>35</v>
      </c>
      <c r="R92" s="49">
        <v>1</v>
      </c>
      <c r="S92" s="50">
        <f t="shared" si="42"/>
        <v>20</v>
      </c>
      <c r="T92" s="49">
        <v>4</v>
      </c>
      <c r="U92" s="50">
        <f t="shared" si="43"/>
        <v>80</v>
      </c>
      <c r="V92" s="49" t="s">
        <v>863</v>
      </c>
      <c r="W92" s="49">
        <v>0</v>
      </c>
      <c r="X92" s="50">
        <f t="shared" si="44"/>
        <v>0</v>
      </c>
      <c r="Y92" s="51" t="str">
        <f t="shared" si="45"/>
        <v>No</v>
      </c>
      <c r="Z92" s="45" t="s">
        <v>29</v>
      </c>
      <c r="AA92" s="49" t="s">
        <v>35</v>
      </c>
      <c r="AB92" s="49" t="s">
        <v>29</v>
      </c>
      <c r="AC92" s="46" t="s">
        <v>26</v>
      </c>
      <c r="AD92" s="46" t="s">
        <v>27</v>
      </c>
      <c r="AE92" s="46" t="s">
        <v>89</v>
      </c>
      <c r="AF92" s="46" t="s">
        <v>29</v>
      </c>
      <c r="AG92" s="103"/>
      <c r="AH92" s="70">
        <f>SUM(34078+19992+12522+6974+2751)</f>
        <v>76317</v>
      </c>
      <c r="AI92" s="52">
        <v>114601</v>
      </c>
      <c r="AJ92" s="102">
        <v>44.6</v>
      </c>
      <c r="AK92" s="104">
        <v>89.2</v>
      </c>
      <c r="AL92" s="102">
        <v>56.12</v>
      </c>
      <c r="AM92" s="102"/>
      <c r="AN92" s="53">
        <f t="shared" si="46"/>
        <v>112.24</v>
      </c>
      <c r="AO92" s="53">
        <v>26.1</v>
      </c>
      <c r="AP92" s="102"/>
      <c r="AQ92" s="102"/>
      <c r="AR92" s="102"/>
      <c r="AS92" s="102"/>
      <c r="AT92" s="102"/>
      <c r="AU92" s="102"/>
      <c r="AV92" s="102"/>
      <c r="AW92" s="102"/>
      <c r="AX92" s="102"/>
      <c r="AY92" s="102"/>
      <c r="AZ92" s="102"/>
      <c r="BA92" s="102"/>
      <c r="BB92" s="102"/>
      <c r="BC92" s="102"/>
      <c r="BD92" s="102"/>
      <c r="BE92" s="102"/>
      <c r="BF92" s="102"/>
      <c r="BG92" s="102"/>
      <c r="BH92" s="102"/>
      <c r="BI92" s="102"/>
      <c r="BJ92" s="102"/>
      <c r="BK92" s="102"/>
      <c r="BL92" s="102"/>
      <c r="BM92" s="102"/>
      <c r="BN92" s="102"/>
      <c r="BO92" s="102"/>
      <c r="BP92" s="102"/>
      <c r="BQ92" s="102"/>
      <c r="BR92" s="102"/>
      <c r="BS92" s="54" t="s">
        <v>29</v>
      </c>
      <c r="BT92" s="45" t="str">
        <f t="shared" si="35"/>
        <v>Yes</v>
      </c>
      <c r="BU92" s="45" t="str">
        <f t="shared" si="36"/>
        <v>No</v>
      </c>
      <c r="BV92" s="45" t="str">
        <f t="shared" si="37"/>
        <v>No</v>
      </c>
      <c r="BW92" s="55">
        <v>87.726444032874198</v>
      </c>
      <c r="BX92" s="55">
        <v>87.726444032874198</v>
      </c>
      <c r="BY92" s="55">
        <v>87.471444032874174</v>
      </c>
      <c r="BZ92" s="55">
        <f>BX92-(0.0051*100/2)</f>
        <v>87.471444032874203</v>
      </c>
      <c r="CA92" s="45">
        <v>2000</v>
      </c>
      <c r="CB92" s="55">
        <f t="shared" si="47"/>
        <v>47.457760477058144</v>
      </c>
      <c r="CC92" s="46" t="s">
        <v>150</v>
      </c>
      <c r="CD92" s="46" t="s">
        <v>151</v>
      </c>
      <c r="CE92" s="46" t="s">
        <v>783</v>
      </c>
      <c r="CF92" s="46">
        <v>2</v>
      </c>
      <c r="CG92" s="46" t="str">
        <f t="shared" si="48"/>
        <v>Yes</v>
      </c>
      <c r="CH92" s="46" t="s">
        <v>29</v>
      </c>
      <c r="CI92" s="56">
        <v>300</v>
      </c>
      <c r="CJ92" s="46">
        <v>50</v>
      </c>
      <c r="CK92" s="46" t="s">
        <v>23</v>
      </c>
      <c r="CL92" s="49" t="s">
        <v>29</v>
      </c>
      <c r="CM92" s="50">
        <v>0</v>
      </c>
      <c r="CN92" s="50"/>
      <c r="CO92" s="50"/>
      <c r="CP92" s="46" t="s">
        <v>23</v>
      </c>
      <c r="CQ92" s="46" t="s">
        <v>24</v>
      </c>
      <c r="CR92" s="46">
        <v>7</v>
      </c>
      <c r="CS92" s="46" t="s">
        <v>855</v>
      </c>
      <c r="CT92" s="71" t="s">
        <v>53</v>
      </c>
      <c r="CU92" s="46" t="s">
        <v>74</v>
      </c>
      <c r="CV92" s="46">
        <v>3</v>
      </c>
      <c r="CW92" s="46" t="s">
        <v>23</v>
      </c>
      <c r="CX92" s="49" t="s">
        <v>743</v>
      </c>
      <c r="CY92" s="49" t="s">
        <v>51</v>
      </c>
      <c r="CZ92" s="49">
        <v>0</v>
      </c>
      <c r="DA92" s="49">
        <v>1</v>
      </c>
      <c r="DB92" s="64">
        <v>241480</v>
      </c>
      <c r="DC92" s="58">
        <v>32.800000000000004</v>
      </c>
      <c r="DD92" s="58">
        <v>40.949999999999996</v>
      </c>
      <c r="DE92" s="58">
        <v>9.59</v>
      </c>
      <c r="DF92" s="58">
        <v>12.3</v>
      </c>
      <c r="DG92" s="58">
        <v>4.3599999999999977</v>
      </c>
      <c r="DH92" s="58">
        <v>67.199999999999989</v>
      </c>
      <c r="DI92" s="45" t="s">
        <v>35</v>
      </c>
      <c r="DJ92" s="59" t="str">
        <f t="shared" si="49"/>
        <v>No single majority group</v>
      </c>
      <c r="DK92" s="65">
        <v>241480</v>
      </c>
      <c r="DL92" s="58">
        <v>32.800000000000004</v>
      </c>
      <c r="DM92" s="58">
        <v>40.949999999999996</v>
      </c>
      <c r="DN92" s="58">
        <v>9.59</v>
      </c>
      <c r="DO92" s="58">
        <v>67.199999999999989</v>
      </c>
      <c r="DP92" s="66">
        <v>51.7</v>
      </c>
      <c r="DQ92" s="67">
        <v>55066.55</v>
      </c>
      <c r="DR92" s="53">
        <v>19.399999999999999</v>
      </c>
      <c r="DS92" s="58">
        <v>69.099999999999994</v>
      </c>
      <c r="DT92" s="53">
        <v>41.4</v>
      </c>
      <c r="DU92" s="55">
        <v>2.6</v>
      </c>
      <c r="DV92" s="50">
        <v>33.299999999999997</v>
      </c>
      <c r="DW92" s="53">
        <v>73.900000000000006</v>
      </c>
      <c r="DX92" s="53">
        <v>85.620599999999996</v>
      </c>
      <c r="DY92" s="53">
        <v>42.246299999999998</v>
      </c>
      <c r="DZ92" s="63"/>
    </row>
    <row r="93" spans="1:130" s="5" customFormat="1" ht="14.25" hidden="1" customHeight="1">
      <c r="A93" s="45">
        <v>1147</v>
      </c>
      <c r="B93" s="46" t="s">
        <v>110</v>
      </c>
      <c r="C93" s="47">
        <v>2000</v>
      </c>
      <c r="D93" s="47" t="s">
        <v>76</v>
      </c>
      <c r="E93" s="46" t="s">
        <v>77</v>
      </c>
      <c r="F93" s="46">
        <v>4</v>
      </c>
      <c r="G93" s="48">
        <v>82204</v>
      </c>
      <c r="H93" s="46" t="s">
        <v>249</v>
      </c>
      <c r="I93" s="46">
        <v>1</v>
      </c>
      <c r="J93" s="46">
        <v>1</v>
      </c>
      <c r="K93" s="49" t="s">
        <v>156</v>
      </c>
      <c r="L93" s="49" t="s">
        <v>40</v>
      </c>
      <c r="M93" s="49" t="s">
        <v>35</v>
      </c>
      <c r="N93" s="49" t="s">
        <v>513</v>
      </c>
      <c r="O93" s="49"/>
      <c r="P93" s="49" t="s">
        <v>31</v>
      </c>
      <c r="Q93" s="49" t="s">
        <v>29</v>
      </c>
      <c r="R93" s="49">
        <v>1</v>
      </c>
      <c r="S93" s="50">
        <f t="shared" si="42"/>
        <v>100</v>
      </c>
      <c r="T93" s="49">
        <v>0</v>
      </c>
      <c r="U93" s="50">
        <f t="shared" si="43"/>
        <v>0</v>
      </c>
      <c r="V93" s="45"/>
      <c r="W93" s="49">
        <v>0</v>
      </c>
      <c r="X93" s="50">
        <f t="shared" si="44"/>
        <v>0</v>
      </c>
      <c r="Y93" s="51" t="str">
        <f t="shared" si="45"/>
        <v>No</v>
      </c>
      <c r="Z93" s="45" t="s">
        <v>29</v>
      </c>
      <c r="AA93" s="49" t="s">
        <v>29</v>
      </c>
      <c r="AB93" s="45" t="s">
        <v>35</v>
      </c>
      <c r="AC93" s="46" t="s">
        <v>151</v>
      </c>
      <c r="AD93" s="46" t="s">
        <v>168</v>
      </c>
      <c r="AE93" s="46" t="s">
        <v>89</v>
      </c>
      <c r="AF93" s="46" t="s">
        <v>29</v>
      </c>
      <c r="AG93" s="103"/>
      <c r="AH93" s="52">
        <v>12649</v>
      </c>
      <c r="AI93" s="52">
        <v>12649</v>
      </c>
      <c r="AJ93" s="102">
        <v>100</v>
      </c>
      <c r="AK93" s="104">
        <v>200</v>
      </c>
      <c r="AL93" s="102">
        <v>100</v>
      </c>
      <c r="AM93" s="102"/>
      <c r="AN93" s="53">
        <f t="shared" si="46"/>
        <v>200</v>
      </c>
      <c r="AO93" s="53" t="s">
        <v>23</v>
      </c>
      <c r="AP93" s="102"/>
      <c r="AQ93" s="102"/>
      <c r="AR93" s="102"/>
      <c r="AS93" s="102"/>
      <c r="AT93" s="102"/>
      <c r="AU93" s="102"/>
      <c r="AV93" s="102"/>
      <c r="AW93" s="102"/>
      <c r="AX93" s="102"/>
      <c r="AY93" s="102"/>
      <c r="AZ93" s="102"/>
      <c r="BA93" s="102"/>
      <c r="BB93" s="102"/>
      <c r="BC93" s="102"/>
      <c r="BD93" s="102"/>
      <c r="BE93" s="102"/>
      <c r="BF93" s="102"/>
      <c r="BG93" s="102"/>
      <c r="BH93" s="102"/>
      <c r="BI93" s="102"/>
      <c r="BJ93" s="102"/>
      <c r="BK93" s="102"/>
      <c r="BL93" s="102"/>
      <c r="BM93" s="102"/>
      <c r="BN93" s="102"/>
      <c r="BO93" s="102"/>
      <c r="BP93" s="102"/>
      <c r="BQ93" s="102"/>
      <c r="BR93" s="102"/>
      <c r="BS93" s="54" t="s">
        <v>23</v>
      </c>
      <c r="BT93" s="45" t="str">
        <f t="shared" si="35"/>
        <v>No</v>
      </c>
      <c r="BU93" s="45" t="str">
        <f t="shared" si="36"/>
        <v>No</v>
      </c>
      <c r="BV93" s="45" t="str">
        <f t="shared" si="37"/>
        <v>No</v>
      </c>
      <c r="BW93" s="55">
        <v>87.726444032874198</v>
      </c>
      <c r="BX93" s="55">
        <v>87.726444032874198</v>
      </c>
      <c r="BY93" s="55">
        <v>87.471444032874174</v>
      </c>
      <c r="BZ93" s="55">
        <f>BX93-(0.0051*100/2)</f>
        <v>87.471444032874203</v>
      </c>
      <c r="CA93" s="45">
        <v>2000</v>
      </c>
      <c r="CB93" s="55">
        <f t="shared" si="47"/>
        <v>27.516968325791858</v>
      </c>
      <c r="CC93" s="46" t="s">
        <v>150</v>
      </c>
      <c r="CD93" s="46" t="s">
        <v>151</v>
      </c>
      <c r="CE93" s="46" t="s">
        <v>783</v>
      </c>
      <c r="CF93" s="46">
        <v>2</v>
      </c>
      <c r="CG93" s="46" t="str">
        <f t="shared" si="48"/>
        <v>Yes</v>
      </c>
      <c r="CH93" s="46" t="s">
        <v>29</v>
      </c>
      <c r="CI93" s="56">
        <v>300</v>
      </c>
      <c r="CJ93" s="46">
        <v>50</v>
      </c>
      <c r="CK93" s="46" t="s">
        <v>23</v>
      </c>
      <c r="CL93" s="49" t="s">
        <v>29</v>
      </c>
      <c r="CM93" s="50">
        <v>0</v>
      </c>
      <c r="CN93" s="50"/>
      <c r="CO93" s="50"/>
      <c r="CP93" s="46" t="s">
        <v>23</v>
      </c>
      <c r="CQ93" s="46" t="s">
        <v>24</v>
      </c>
      <c r="CR93" s="46">
        <v>7</v>
      </c>
      <c r="CS93" s="46" t="s">
        <v>855</v>
      </c>
      <c r="CT93" s="46" t="s">
        <v>856</v>
      </c>
      <c r="CU93" s="46" t="s">
        <v>74</v>
      </c>
      <c r="CV93" s="46">
        <v>3</v>
      </c>
      <c r="CW93" s="46" t="s">
        <v>23</v>
      </c>
      <c r="CX93" s="49" t="s">
        <v>743</v>
      </c>
      <c r="CY93" s="49" t="s">
        <v>51</v>
      </c>
      <c r="CZ93" s="49">
        <v>0</v>
      </c>
      <c r="DA93" s="49">
        <v>1</v>
      </c>
      <c r="DB93" s="64">
        <v>45968</v>
      </c>
      <c r="DC93" s="58">
        <v>56.85</v>
      </c>
      <c r="DD93" s="58">
        <v>27.939999999999998</v>
      </c>
      <c r="DE93" s="58">
        <v>4.92</v>
      </c>
      <c r="DF93" s="58">
        <v>5.96</v>
      </c>
      <c r="DG93" s="58">
        <v>6.0020013922728852</v>
      </c>
      <c r="DH93" s="58">
        <v>43.15</v>
      </c>
      <c r="DI93" s="45" t="s">
        <v>29</v>
      </c>
      <c r="DJ93" s="59" t="str">
        <f t="shared" si="49"/>
        <v>N/A</v>
      </c>
      <c r="DK93" s="65">
        <v>45968</v>
      </c>
      <c r="DL93" s="58">
        <v>56.85</v>
      </c>
      <c r="DM93" s="58">
        <v>27.939999999999998</v>
      </c>
      <c r="DN93" s="58">
        <v>4.92</v>
      </c>
      <c r="DO93" s="58">
        <v>43.15</v>
      </c>
      <c r="DP93" s="66">
        <v>51.7</v>
      </c>
      <c r="DQ93" s="67">
        <v>55066.55</v>
      </c>
      <c r="DR93" s="53">
        <v>19.399999999999999</v>
      </c>
      <c r="DS93" s="58">
        <v>69.099999999999994</v>
      </c>
      <c r="DT93" s="53">
        <v>41.4</v>
      </c>
      <c r="DU93" s="55">
        <v>2.6</v>
      </c>
      <c r="DV93" s="50">
        <v>33.299999999999997</v>
      </c>
      <c r="DW93" s="53">
        <v>73.900000000000006</v>
      </c>
      <c r="DX93" s="53">
        <v>85.620599999999996</v>
      </c>
      <c r="DY93" s="53">
        <v>42.246299999999998</v>
      </c>
      <c r="DZ93" s="63"/>
    </row>
    <row r="94" spans="1:130" s="5" customFormat="1" ht="14.25" hidden="1" customHeight="1">
      <c r="A94" s="45">
        <v>1149</v>
      </c>
      <c r="B94" s="46" t="s">
        <v>110</v>
      </c>
      <c r="C94" s="47">
        <v>2000</v>
      </c>
      <c r="D94" s="47" t="s">
        <v>94</v>
      </c>
      <c r="E94" s="46" t="s">
        <v>95</v>
      </c>
      <c r="F94" s="46">
        <v>4</v>
      </c>
      <c r="G94" s="48">
        <v>82204</v>
      </c>
      <c r="H94" s="46" t="s">
        <v>249</v>
      </c>
      <c r="I94" s="46">
        <v>1</v>
      </c>
      <c r="J94" s="46">
        <v>8</v>
      </c>
      <c r="K94" s="49" t="s">
        <v>157</v>
      </c>
      <c r="L94" s="49" t="s">
        <v>40</v>
      </c>
      <c r="M94" s="49" t="s">
        <v>35</v>
      </c>
      <c r="N94" s="49" t="s">
        <v>513</v>
      </c>
      <c r="O94" s="49"/>
      <c r="P94" s="49" t="s">
        <v>31</v>
      </c>
      <c r="Q94" s="49" t="s">
        <v>29</v>
      </c>
      <c r="R94" s="49">
        <v>3</v>
      </c>
      <c r="S94" s="50">
        <f t="shared" si="42"/>
        <v>37.5</v>
      </c>
      <c r="T94" s="49">
        <v>4</v>
      </c>
      <c r="U94" s="50">
        <f t="shared" si="43"/>
        <v>50</v>
      </c>
      <c r="V94" s="49" t="s">
        <v>864</v>
      </c>
      <c r="W94" s="49">
        <v>0</v>
      </c>
      <c r="X94" s="50">
        <f t="shared" si="44"/>
        <v>0</v>
      </c>
      <c r="Y94" s="51" t="str">
        <f t="shared" si="45"/>
        <v>No</v>
      </c>
      <c r="Z94" s="45" t="s">
        <v>29</v>
      </c>
      <c r="AA94" s="49" t="s">
        <v>29</v>
      </c>
      <c r="AB94" s="45" t="s">
        <v>35</v>
      </c>
      <c r="AC94" s="46" t="s">
        <v>26</v>
      </c>
      <c r="AD94" s="46" t="s">
        <v>27</v>
      </c>
      <c r="AE94" s="46" t="s">
        <v>89</v>
      </c>
      <c r="AF94" s="46" t="s">
        <v>29</v>
      </c>
      <c r="AG94" s="103"/>
      <c r="AH94" s="70">
        <f>SUM(4540+2429+1521+413+347+230+212+105)</f>
        <v>9797</v>
      </c>
      <c r="AI94" s="52">
        <v>14504</v>
      </c>
      <c r="AJ94" s="102">
        <v>46.3</v>
      </c>
      <c r="AK94" s="104">
        <v>92.6</v>
      </c>
      <c r="AL94" s="102">
        <v>70.569999999999993</v>
      </c>
      <c r="AM94" s="102"/>
      <c r="AN94" s="53">
        <f t="shared" si="46"/>
        <v>141.13999999999999</v>
      </c>
      <c r="AO94" s="53">
        <v>24.7</v>
      </c>
      <c r="AP94" s="102"/>
      <c r="AQ94" s="102"/>
      <c r="AR94" s="102"/>
      <c r="AS94" s="102"/>
      <c r="AT94" s="102"/>
      <c r="AU94" s="102"/>
      <c r="AV94" s="102"/>
      <c r="AW94" s="102"/>
      <c r="AX94" s="102"/>
      <c r="AY94" s="102"/>
      <c r="AZ94" s="102"/>
      <c r="BA94" s="102"/>
      <c r="BB94" s="102"/>
      <c r="BC94" s="102"/>
      <c r="BD94" s="102"/>
      <c r="BE94" s="102"/>
      <c r="BF94" s="102"/>
      <c r="BG94" s="102"/>
      <c r="BH94" s="102"/>
      <c r="BI94" s="102"/>
      <c r="BJ94" s="102"/>
      <c r="BK94" s="102"/>
      <c r="BL94" s="102"/>
      <c r="BM94" s="102"/>
      <c r="BN94" s="102"/>
      <c r="BO94" s="102"/>
      <c r="BP94" s="102"/>
      <c r="BQ94" s="102"/>
      <c r="BR94" s="102"/>
      <c r="BS94" s="54" t="s">
        <v>29</v>
      </c>
      <c r="BT94" s="45" t="str">
        <f t="shared" si="35"/>
        <v>Yes</v>
      </c>
      <c r="BU94" s="45" t="str">
        <f t="shared" si="36"/>
        <v>No</v>
      </c>
      <c r="BV94" s="45" t="str">
        <f t="shared" si="37"/>
        <v>No</v>
      </c>
      <c r="BW94" s="55">
        <v>87.726444032874198</v>
      </c>
      <c r="BX94" s="55"/>
      <c r="BY94" s="55">
        <v>87.471444032874174</v>
      </c>
      <c r="BZ94" s="55"/>
      <c r="CA94" s="45">
        <v>2000</v>
      </c>
      <c r="CB94" s="55">
        <f t="shared" si="47"/>
        <v>35.917882172308758</v>
      </c>
      <c r="CC94" s="46" t="s">
        <v>150</v>
      </c>
      <c r="CD94" s="46" t="s">
        <v>151</v>
      </c>
      <c r="CE94" s="46" t="s">
        <v>783</v>
      </c>
      <c r="CF94" s="46">
        <v>2</v>
      </c>
      <c r="CG94" s="46" t="str">
        <f t="shared" si="48"/>
        <v>Yes</v>
      </c>
      <c r="CH94" s="46" t="s">
        <v>29</v>
      </c>
      <c r="CI94" s="56">
        <v>300</v>
      </c>
      <c r="CJ94" s="46">
        <v>50</v>
      </c>
      <c r="CK94" s="46" t="s">
        <v>23</v>
      </c>
      <c r="CL94" s="49" t="s">
        <v>29</v>
      </c>
      <c r="CM94" s="50">
        <v>0</v>
      </c>
      <c r="CN94" s="50"/>
      <c r="CO94" s="50"/>
      <c r="CP94" s="46" t="s">
        <v>23</v>
      </c>
      <c r="CQ94" s="46" t="s">
        <v>24</v>
      </c>
      <c r="CR94" s="46">
        <v>7</v>
      </c>
      <c r="CS94" s="46" t="s">
        <v>855</v>
      </c>
      <c r="CT94" s="46" t="s">
        <v>856</v>
      </c>
      <c r="CU94" s="46" t="s">
        <v>74</v>
      </c>
      <c r="CV94" s="46">
        <v>3</v>
      </c>
      <c r="CW94" s="46" t="s">
        <v>23</v>
      </c>
      <c r="CX94" s="49" t="s">
        <v>743</v>
      </c>
      <c r="CY94" s="49" t="s">
        <v>51</v>
      </c>
      <c r="CZ94" s="49">
        <v>0</v>
      </c>
      <c r="DA94" s="49">
        <v>1</v>
      </c>
      <c r="DB94" s="64">
        <v>40381</v>
      </c>
      <c r="DC94" s="58">
        <v>27.3</v>
      </c>
      <c r="DD94" s="58">
        <v>48.9</v>
      </c>
      <c r="DE94" s="58">
        <v>7.1800000000000006</v>
      </c>
      <c r="DF94" s="58">
        <v>11.87</v>
      </c>
      <c r="DG94" s="58">
        <v>6.6219261533889702</v>
      </c>
      <c r="DH94" s="58">
        <v>72.7</v>
      </c>
      <c r="DI94" s="45" t="s">
        <v>35</v>
      </c>
      <c r="DJ94" s="59" t="str">
        <f t="shared" si="49"/>
        <v>No single majority group</v>
      </c>
      <c r="DK94" s="65">
        <v>40381</v>
      </c>
      <c r="DL94" s="58">
        <v>27.3</v>
      </c>
      <c r="DM94" s="58">
        <v>48.9</v>
      </c>
      <c r="DN94" s="58">
        <v>7.1800000000000006</v>
      </c>
      <c r="DO94" s="58">
        <v>72.7</v>
      </c>
      <c r="DP94" s="66">
        <v>51.7</v>
      </c>
      <c r="DQ94" s="67">
        <v>55066.55</v>
      </c>
      <c r="DR94" s="53">
        <v>19.399999999999999</v>
      </c>
      <c r="DS94" s="58">
        <v>69.099999999999994</v>
      </c>
      <c r="DT94" s="53">
        <v>41.4</v>
      </c>
      <c r="DU94" s="55">
        <v>2.6</v>
      </c>
      <c r="DV94" s="50">
        <v>33.299999999999997</v>
      </c>
      <c r="DW94" s="53">
        <v>73.900000000000006</v>
      </c>
      <c r="DX94" s="53">
        <v>85.620599999999996</v>
      </c>
      <c r="DY94" s="53">
        <v>42.246299999999998</v>
      </c>
      <c r="DZ94" s="63"/>
    </row>
    <row r="95" spans="1:130" s="5" customFormat="1" ht="14.25" hidden="1" customHeight="1">
      <c r="A95" s="45">
        <v>1151</v>
      </c>
      <c r="B95" s="46" t="s">
        <v>110</v>
      </c>
      <c r="C95" s="47">
        <v>2000</v>
      </c>
      <c r="D95" s="47" t="s">
        <v>97</v>
      </c>
      <c r="E95" s="46" t="s">
        <v>98</v>
      </c>
      <c r="F95" s="46">
        <v>4</v>
      </c>
      <c r="G95" s="48">
        <v>82204</v>
      </c>
      <c r="H95" s="46" t="s">
        <v>249</v>
      </c>
      <c r="I95" s="46">
        <v>1</v>
      </c>
      <c r="J95" s="46">
        <v>3</v>
      </c>
      <c r="K95" s="49" t="s">
        <v>158</v>
      </c>
      <c r="L95" s="49" t="s">
        <v>30</v>
      </c>
      <c r="M95" s="49" t="s">
        <v>29</v>
      </c>
      <c r="N95" s="49" t="s">
        <v>513</v>
      </c>
      <c r="O95" s="49"/>
      <c r="P95" s="49" t="s">
        <v>857</v>
      </c>
      <c r="Q95" s="49" t="s">
        <v>35</v>
      </c>
      <c r="R95" s="49">
        <v>1</v>
      </c>
      <c r="S95" s="50">
        <f t="shared" si="42"/>
        <v>33.333333333333329</v>
      </c>
      <c r="T95" s="49">
        <v>3</v>
      </c>
      <c r="U95" s="50">
        <f t="shared" si="43"/>
        <v>100</v>
      </c>
      <c r="V95" s="49" t="s">
        <v>865</v>
      </c>
      <c r="W95" s="49">
        <v>1</v>
      </c>
      <c r="X95" s="50">
        <f t="shared" si="44"/>
        <v>33.333333333333329</v>
      </c>
      <c r="Y95" s="51" t="str">
        <f t="shared" si="45"/>
        <v>No</v>
      </c>
      <c r="Z95" s="45" t="s">
        <v>29</v>
      </c>
      <c r="AA95" s="49" t="s">
        <v>35</v>
      </c>
      <c r="AB95" s="49" t="s">
        <v>29</v>
      </c>
      <c r="AC95" s="46" t="s">
        <v>151</v>
      </c>
      <c r="AD95" s="46" t="s">
        <v>168</v>
      </c>
      <c r="AE95" s="46" t="s">
        <v>89</v>
      </c>
      <c r="AF95" s="46" t="s">
        <v>29</v>
      </c>
      <c r="AG95" s="107"/>
      <c r="AH95" s="70">
        <f>SUM(3363+1436+665)</f>
        <v>5464</v>
      </c>
      <c r="AI95" s="70">
        <f>SUM(3363+1436+665)</f>
        <v>5464</v>
      </c>
      <c r="AJ95" s="102">
        <v>61.5</v>
      </c>
      <c r="AK95" s="104">
        <v>123</v>
      </c>
      <c r="AL95" s="102">
        <v>61.5</v>
      </c>
      <c r="AM95" s="102"/>
      <c r="AN95" s="53">
        <f t="shared" si="46"/>
        <v>123</v>
      </c>
      <c r="AO95" s="53">
        <v>26.2</v>
      </c>
      <c r="AP95" s="102"/>
      <c r="AQ95" s="102"/>
      <c r="AR95" s="102"/>
      <c r="AS95" s="102"/>
      <c r="AT95" s="102"/>
      <c r="AU95" s="102"/>
      <c r="AV95" s="102"/>
      <c r="AW95" s="102"/>
      <c r="AX95" s="102"/>
      <c r="AY95" s="102"/>
      <c r="AZ95" s="102"/>
      <c r="BA95" s="102"/>
      <c r="BB95" s="102"/>
      <c r="BC95" s="102"/>
      <c r="BD95" s="102"/>
      <c r="BE95" s="102"/>
      <c r="BF95" s="102"/>
      <c r="BG95" s="102"/>
      <c r="BH95" s="102"/>
      <c r="BI95" s="102"/>
      <c r="BJ95" s="102"/>
      <c r="BK95" s="102"/>
      <c r="BL95" s="102"/>
      <c r="BM95" s="102"/>
      <c r="BN95" s="102"/>
      <c r="BO95" s="102"/>
      <c r="BP95" s="102"/>
      <c r="BQ95" s="102"/>
      <c r="BR95" s="102"/>
      <c r="BS95" s="54" t="s">
        <v>29</v>
      </c>
      <c r="BT95" s="45" t="str">
        <f t="shared" si="35"/>
        <v>No</v>
      </c>
      <c r="BU95" s="45" t="str">
        <f t="shared" si="36"/>
        <v>No</v>
      </c>
      <c r="BV95" s="45" t="str">
        <f t="shared" si="37"/>
        <v>No</v>
      </c>
      <c r="BW95" s="55">
        <v>87.726444032874198</v>
      </c>
      <c r="BX95" s="55"/>
      <c r="BY95" s="55">
        <v>87.471444032874174</v>
      </c>
      <c r="BZ95" s="55"/>
      <c r="CA95" s="45">
        <v>2000</v>
      </c>
      <c r="CB95" s="55">
        <f t="shared" si="47"/>
        <v>21.631037212984957</v>
      </c>
      <c r="CC95" s="46" t="s">
        <v>150</v>
      </c>
      <c r="CD95" s="46" t="s">
        <v>151</v>
      </c>
      <c r="CE95" s="46" t="s">
        <v>783</v>
      </c>
      <c r="CF95" s="46">
        <v>2</v>
      </c>
      <c r="CG95" s="46" t="str">
        <f t="shared" si="48"/>
        <v>Yes</v>
      </c>
      <c r="CH95" s="46" t="s">
        <v>29</v>
      </c>
      <c r="CI95" s="56">
        <v>300</v>
      </c>
      <c r="CJ95" s="46">
        <v>50</v>
      </c>
      <c r="CK95" s="46" t="s">
        <v>23</v>
      </c>
      <c r="CL95" s="49" t="s">
        <v>29</v>
      </c>
      <c r="CM95" s="50">
        <v>0</v>
      </c>
      <c r="CN95" s="50"/>
      <c r="CO95" s="50"/>
      <c r="CP95" s="46" t="s">
        <v>23</v>
      </c>
      <c r="CQ95" s="46" t="s">
        <v>24</v>
      </c>
      <c r="CR95" s="46">
        <v>7</v>
      </c>
      <c r="CS95" s="46" t="s">
        <v>855</v>
      </c>
      <c r="CT95" s="46" t="s">
        <v>856</v>
      </c>
      <c r="CU95" s="46" t="s">
        <v>74</v>
      </c>
      <c r="CV95" s="46">
        <v>3</v>
      </c>
      <c r="CW95" s="46" t="s">
        <v>23</v>
      </c>
      <c r="CX95" s="49" t="s">
        <v>743</v>
      </c>
      <c r="CY95" s="49" t="s">
        <v>51</v>
      </c>
      <c r="CZ95" s="49">
        <v>0</v>
      </c>
      <c r="DA95" s="49">
        <v>1</v>
      </c>
      <c r="DB95" s="64">
        <v>25260</v>
      </c>
      <c r="DC95" s="58">
        <v>24.990000000000002</v>
      </c>
      <c r="DD95" s="58">
        <v>31.319999999999997</v>
      </c>
      <c r="DE95" s="58">
        <v>20.119999999999997</v>
      </c>
      <c r="DF95" s="58">
        <v>18.02</v>
      </c>
      <c r="DG95" s="58">
        <v>7.3713380839271574</v>
      </c>
      <c r="DH95" s="58">
        <v>75.010000000000005</v>
      </c>
      <c r="DI95" s="45" t="s">
        <v>35</v>
      </c>
      <c r="DJ95" s="59" t="str">
        <f t="shared" si="49"/>
        <v>No single majority group</v>
      </c>
      <c r="DK95" s="65">
        <v>25260</v>
      </c>
      <c r="DL95" s="58">
        <v>24.990000000000002</v>
      </c>
      <c r="DM95" s="58">
        <v>31.319999999999997</v>
      </c>
      <c r="DN95" s="58">
        <v>20.119999999999997</v>
      </c>
      <c r="DO95" s="58">
        <v>75.010000000000005</v>
      </c>
      <c r="DP95" s="66">
        <v>51.7</v>
      </c>
      <c r="DQ95" s="67">
        <v>55066.55</v>
      </c>
      <c r="DR95" s="53">
        <v>19.399999999999999</v>
      </c>
      <c r="DS95" s="58">
        <v>69.099999999999994</v>
      </c>
      <c r="DT95" s="53">
        <v>41.4</v>
      </c>
      <c r="DU95" s="55">
        <v>2.6</v>
      </c>
      <c r="DV95" s="50">
        <v>33.299999999999997</v>
      </c>
      <c r="DW95" s="53">
        <v>73.900000000000006</v>
      </c>
      <c r="DX95" s="53">
        <v>85.620599999999996</v>
      </c>
      <c r="DY95" s="53">
        <v>42.246299999999998</v>
      </c>
      <c r="DZ95" s="63"/>
    </row>
    <row r="96" spans="1:130" s="5" customFormat="1" ht="14.25" hidden="1" customHeight="1">
      <c r="A96" s="45">
        <v>1153</v>
      </c>
      <c r="B96" s="46" t="s">
        <v>110</v>
      </c>
      <c r="C96" s="47">
        <v>2000</v>
      </c>
      <c r="D96" s="47" t="s">
        <v>82</v>
      </c>
      <c r="E96" s="46" t="s">
        <v>83</v>
      </c>
      <c r="F96" s="46">
        <v>4</v>
      </c>
      <c r="G96" s="48">
        <v>82204</v>
      </c>
      <c r="H96" s="46" t="s">
        <v>249</v>
      </c>
      <c r="I96" s="46">
        <v>1</v>
      </c>
      <c r="J96" s="46">
        <v>2</v>
      </c>
      <c r="K96" s="49" t="s">
        <v>140</v>
      </c>
      <c r="L96" s="49" t="s">
        <v>30</v>
      </c>
      <c r="M96" s="49" t="s">
        <v>29</v>
      </c>
      <c r="N96" s="49" t="s">
        <v>513</v>
      </c>
      <c r="O96" s="49"/>
      <c r="P96" s="49" t="s">
        <v>201</v>
      </c>
      <c r="Q96" s="49" t="s">
        <v>35</v>
      </c>
      <c r="R96" s="49">
        <v>1</v>
      </c>
      <c r="S96" s="50">
        <f t="shared" si="42"/>
        <v>50</v>
      </c>
      <c r="T96" s="49">
        <v>1</v>
      </c>
      <c r="U96" s="50">
        <f t="shared" si="43"/>
        <v>50</v>
      </c>
      <c r="V96" s="49" t="s">
        <v>858</v>
      </c>
      <c r="W96" s="49">
        <v>0</v>
      </c>
      <c r="X96" s="50">
        <f t="shared" si="44"/>
        <v>0</v>
      </c>
      <c r="Y96" s="51" t="str">
        <f t="shared" si="45"/>
        <v>No</v>
      </c>
      <c r="Z96" s="45" t="s">
        <v>29</v>
      </c>
      <c r="AA96" s="49" t="s">
        <v>35</v>
      </c>
      <c r="AB96" s="49" t="s">
        <v>29</v>
      </c>
      <c r="AC96" s="46" t="s">
        <v>151</v>
      </c>
      <c r="AD96" s="46" t="s">
        <v>168</v>
      </c>
      <c r="AE96" s="46" t="s">
        <v>89</v>
      </c>
      <c r="AF96" s="46" t="s">
        <v>29</v>
      </c>
      <c r="AG96" s="103"/>
      <c r="AH96" s="52">
        <v>8839</v>
      </c>
      <c r="AI96" s="52">
        <v>8839</v>
      </c>
      <c r="AJ96" s="102">
        <v>73.5</v>
      </c>
      <c r="AK96" s="104">
        <v>147</v>
      </c>
      <c r="AL96" s="102">
        <v>73.5</v>
      </c>
      <c r="AM96" s="102"/>
      <c r="AN96" s="53">
        <f t="shared" si="46"/>
        <v>147</v>
      </c>
      <c r="AO96" s="53">
        <v>26.4</v>
      </c>
      <c r="AP96" s="102"/>
      <c r="AQ96" s="102"/>
      <c r="AR96" s="102"/>
      <c r="AS96" s="102"/>
      <c r="AT96" s="102"/>
      <c r="AU96" s="102"/>
      <c r="AV96" s="102"/>
      <c r="AW96" s="102"/>
      <c r="AX96" s="102"/>
      <c r="AY96" s="102"/>
      <c r="AZ96" s="102"/>
      <c r="BA96" s="102"/>
      <c r="BB96" s="102"/>
      <c r="BC96" s="102"/>
      <c r="BD96" s="102"/>
      <c r="BE96" s="102"/>
      <c r="BF96" s="102"/>
      <c r="BG96" s="102"/>
      <c r="BH96" s="102"/>
      <c r="BI96" s="102"/>
      <c r="BJ96" s="102"/>
      <c r="BK96" s="102"/>
      <c r="BL96" s="102"/>
      <c r="BM96" s="102"/>
      <c r="BN96" s="102"/>
      <c r="BO96" s="102"/>
      <c r="BP96" s="102"/>
      <c r="BQ96" s="102"/>
      <c r="BR96" s="102"/>
      <c r="BS96" s="54"/>
      <c r="BT96" s="45" t="str">
        <f t="shared" si="35"/>
        <v>No</v>
      </c>
      <c r="BU96" s="45" t="str">
        <f t="shared" si="36"/>
        <v>No</v>
      </c>
      <c r="BV96" s="45" t="str">
        <f t="shared" si="37"/>
        <v>No</v>
      </c>
      <c r="BW96" s="55">
        <v>87.726444032874198</v>
      </c>
      <c r="BX96" s="55"/>
      <c r="BY96" s="55">
        <v>87.471444032874174</v>
      </c>
      <c r="BZ96" s="55"/>
      <c r="CA96" s="45">
        <v>2000</v>
      </c>
      <c r="CB96" s="55">
        <f t="shared" si="47"/>
        <v>28.70084748514466</v>
      </c>
      <c r="CC96" s="46" t="s">
        <v>150</v>
      </c>
      <c r="CD96" s="46" t="s">
        <v>151</v>
      </c>
      <c r="CE96" s="46" t="s">
        <v>783</v>
      </c>
      <c r="CF96" s="46">
        <v>2</v>
      </c>
      <c r="CG96" s="46" t="str">
        <f t="shared" si="48"/>
        <v>Yes</v>
      </c>
      <c r="CH96" s="46" t="s">
        <v>29</v>
      </c>
      <c r="CI96" s="56">
        <v>300</v>
      </c>
      <c r="CJ96" s="46">
        <v>50</v>
      </c>
      <c r="CK96" s="46" t="s">
        <v>23</v>
      </c>
      <c r="CL96" s="49" t="s">
        <v>29</v>
      </c>
      <c r="CM96" s="50">
        <v>0</v>
      </c>
      <c r="CN96" s="50"/>
      <c r="CO96" s="50"/>
      <c r="CP96" s="46" t="s">
        <v>23</v>
      </c>
      <c r="CQ96" s="46" t="s">
        <v>24</v>
      </c>
      <c r="CR96" s="46">
        <v>7</v>
      </c>
      <c r="CS96" s="46" t="s">
        <v>855</v>
      </c>
      <c r="CT96" s="46" t="s">
        <v>856</v>
      </c>
      <c r="CU96" s="46" t="s">
        <v>74</v>
      </c>
      <c r="CV96" s="46">
        <v>3</v>
      </c>
      <c r="CW96" s="46" t="s">
        <v>23</v>
      </c>
      <c r="CX96" s="49" t="s">
        <v>743</v>
      </c>
      <c r="CY96" s="49" t="s">
        <v>51</v>
      </c>
      <c r="CZ96" s="49">
        <v>0</v>
      </c>
      <c r="DA96" s="49">
        <v>1</v>
      </c>
      <c r="DB96" s="64">
        <v>30797</v>
      </c>
      <c r="DC96" s="58">
        <v>10.67</v>
      </c>
      <c r="DD96" s="58">
        <v>70.45</v>
      </c>
      <c r="DE96" s="58">
        <v>12.01</v>
      </c>
      <c r="DF96" s="58">
        <v>2.94</v>
      </c>
      <c r="DG96" s="58">
        <v>4.9063220443549698</v>
      </c>
      <c r="DH96" s="58">
        <v>89.33</v>
      </c>
      <c r="DI96" s="45" t="s">
        <v>35</v>
      </c>
      <c r="DJ96" s="59" t="str">
        <f t="shared" si="49"/>
        <v>African American</v>
      </c>
      <c r="DK96" s="65">
        <v>30797</v>
      </c>
      <c r="DL96" s="58">
        <v>10.67</v>
      </c>
      <c r="DM96" s="58">
        <v>70.45</v>
      </c>
      <c r="DN96" s="58">
        <v>12.01</v>
      </c>
      <c r="DO96" s="58">
        <v>89.33</v>
      </c>
      <c r="DP96" s="66">
        <v>51.7</v>
      </c>
      <c r="DQ96" s="67">
        <v>55066.55</v>
      </c>
      <c r="DR96" s="53">
        <v>19.399999999999999</v>
      </c>
      <c r="DS96" s="58">
        <v>69.099999999999994</v>
      </c>
      <c r="DT96" s="53">
        <v>41.4</v>
      </c>
      <c r="DU96" s="55">
        <v>2.6</v>
      </c>
      <c r="DV96" s="50">
        <v>33.299999999999997</v>
      </c>
      <c r="DW96" s="53">
        <v>73.900000000000006</v>
      </c>
      <c r="DX96" s="53">
        <v>85.620599999999996</v>
      </c>
      <c r="DY96" s="53">
        <v>42.246299999999998</v>
      </c>
      <c r="DZ96" s="63"/>
    </row>
    <row r="97" spans="1:130" s="5" customFormat="1" ht="14.25" hidden="1" customHeight="1">
      <c r="A97" s="45">
        <v>1148</v>
      </c>
      <c r="B97" s="46" t="s">
        <v>110</v>
      </c>
      <c r="C97" s="47">
        <v>2000</v>
      </c>
      <c r="D97" s="47" t="s">
        <v>130</v>
      </c>
      <c r="E97" s="46" t="s">
        <v>77</v>
      </c>
      <c r="F97" s="46">
        <v>4</v>
      </c>
      <c r="G97" s="48">
        <v>10000</v>
      </c>
      <c r="H97" s="46" t="s">
        <v>332</v>
      </c>
      <c r="I97" s="46">
        <v>1</v>
      </c>
      <c r="J97" s="46">
        <v>2</v>
      </c>
      <c r="K97" s="49" t="s">
        <v>166</v>
      </c>
      <c r="L97" s="49" t="s">
        <v>40</v>
      </c>
      <c r="M97" s="49" t="s">
        <v>35</v>
      </c>
      <c r="N97" s="49"/>
      <c r="O97" s="49"/>
      <c r="P97" s="49" t="s">
        <v>31</v>
      </c>
      <c r="Q97" s="49" t="s">
        <v>29</v>
      </c>
      <c r="R97" s="49">
        <v>2</v>
      </c>
      <c r="S97" s="50">
        <f t="shared" si="42"/>
        <v>100</v>
      </c>
      <c r="T97" s="49">
        <v>1</v>
      </c>
      <c r="U97" s="50">
        <f t="shared" si="43"/>
        <v>50</v>
      </c>
      <c r="V97" s="49" t="s">
        <v>858</v>
      </c>
      <c r="W97" s="49">
        <v>1</v>
      </c>
      <c r="X97" s="50">
        <f t="shared" si="44"/>
        <v>50</v>
      </c>
      <c r="Y97" s="51" t="str">
        <f t="shared" si="45"/>
        <v>No</v>
      </c>
      <c r="Z97" s="45"/>
      <c r="AA97" s="45"/>
      <c r="AB97" s="45"/>
      <c r="AC97" s="46" t="s">
        <v>151</v>
      </c>
      <c r="AD97" s="46" t="s">
        <v>168</v>
      </c>
      <c r="AE97" s="46" t="s">
        <v>89</v>
      </c>
      <c r="AF97" s="46" t="s">
        <v>29</v>
      </c>
      <c r="AG97" s="107"/>
      <c r="AH97" s="70">
        <f>SUM(9511+7428)</f>
        <v>16939</v>
      </c>
      <c r="AI97" s="70">
        <f>SUM(9511+7428)</f>
        <v>16939</v>
      </c>
      <c r="AJ97" s="102">
        <v>56.1</v>
      </c>
      <c r="AK97" s="104">
        <v>112.2</v>
      </c>
      <c r="AL97" s="102">
        <v>56.1</v>
      </c>
      <c r="AM97" s="102"/>
      <c r="AN97" s="53">
        <f t="shared" si="46"/>
        <v>112.2</v>
      </c>
      <c r="AO97" s="53"/>
      <c r="AP97" s="102"/>
      <c r="AQ97" s="102"/>
      <c r="AR97" s="102"/>
      <c r="AS97" s="102"/>
      <c r="AT97" s="102"/>
      <c r="AU97" s="102"/>
      <c r="AV97" s="102"/>
      <c r="AW97" s="102"/>
      <c r="AX97" s="102"/>
      <c r="AY97" s="102"/>
      <c r="AZ97" s="102"/>
      <c r="BA97" s="102"/>
      <c r="BB97" s="102"/>
      <c r="BC97" s="102"/>
      <c r="BD97" s="102"/>
      <c r="BE97" s="102"/>
      <c r="BF97" s="102"/>
      <c r="BG97" s="102"/>
      <c r="BH97" s="102"/>
      <c r="BI97" s="102"/>
      <c r="BJ97" s="102"/>
      <c r="BK97" s="102"/>
      <c r="BL97" s="102"/>
      <c r="BM97" s="102"/>
      <c r="BN97" s="102"/>
      <c r="BO97" s="102"/>
      <c r="BP97" s="102"/>
      <c r="BQ97" s="102"/>
      <c r="BR97" s="102"/>
      <c r="BS97" s="54"/>
      <c r="BT97" s="45"/>
      <c r="BU97" s="45"/>
      <c r="BV97" s="45"/>
      <c r="BW97" s="55">
        <v>87.726444032874198</v>
      </c>
      <c r="BX97" s="55"/>
      <c r="BY97" s="55">
        <v>87.471444032874174</v>
      </c>
      <c r="BZ97" s="55"/>
      <c r="CA97" s="45">
        <v>2000</v>
      </c>
      <c r="CB97" s="55">
        <f t="shared" si="47"/>
        <v>36.849547511312217</v>
      </c>
      <c r="CC97" s="46" t="s">
        <v>150</v>
      </c>
      <c r="CD97" s="46" t="s">
        <v>151</v>
      </c>
      <c r="CE97" s="46" t="s">
        <v>783</v>
      </c>
      <c r="CF97" s="46">
        <v>2</v>
      </c>
      <c r="CG97" s="46" t="str">
        <f t="shared" si="48"/>
        <v>Yes</v>
      </c>
      <c r="CH97" s="46" t="s">
        <v>29</v>
      </c>
      <c r="CI97" s="56">
        <v>300</v>
      </c>
      <c r="CJ97" s="46">
        <v>50</v>
      </c>
      <c r="CK97" s="46" t="s">
        <v>23</v>
      </c>
      <c r="CL97" s="49" t="s">
        <v>29</v>
      </c>
      <c r="CM97" s="50">
        <v>0</v>
      </c>
      <c r="CN97" s="50"/>
      <c r="CO97" s="50"/>
      <c r="CP97" s="46" t="s">
        <v>23</v>
      </c>
      <c r="CQ97" s="46" t="s">
        <v>24</v>
      </c>
      <c r="CR97" s="46">
        <v>7</v>
      </c>
      <c r="CS97" s="46" t="s">
        <v>855</v>
      </c>
      <c r="CT97" s="46" t="s">
        <v>856</v>
      </c>
      <c r="CU97" s="46" t="s">
        <v>74</v>
      </c>
      <c r="CV97" s="46">
        <v>3</v>
      </c>
      <c r="CW97" s="46" t="s">
        <v>23</v>
      </c>
      <c r="CX97" s="49" t="s">
        <v>743</v>
      </c>
      <c r="CY97" s="49" t="s">
        <v>51</v>
      </c>
      <c r="CZ97" s="49">
        <v>0</v>
      </c>
      <c r="DA97" s="49">
        <v>1</v>
      </c>
      <c r="DB97" s="64">
        <v>45968</v>
      </c>
      <c r="DC97" s="58">
        <v>56.85</v>
      </c>
      <c r="DD97" s="58">
        <v>27.939999999999998</v>
      </c>
      <c r="DE97" s="58">
        <v>4.92</v>
      </c>
      <c r="DF97" s="58">
        <v>5.96</v>
      </c>
      <c r="DG97" s="58">
        <v>6.0020013922728852</v>
      </c>
      <c r="DH97" s="58">
        <v>43.15</v>
      </c>
      <c r="DI97" s="45" t="s">
        <v>29</v>
      </c>
      <c r="DJ97" s="59" t="str">
        <f t="shared" si="49"/>
        <v>N/A</v>
      </c>
      <c r="DK97" s="65">
        <v>45968</v>
      </c>
      <c r="DL97" s="58">
        <v>56.85</v>
      </c>
      <c r="DM97" s="58">
        <v>27.939999999999998</v>
      </c>
      <c r="DN97" s="58">
        <v>4.92</v>
      </c>
      <c r="DO97" s="58">
        <v>43.15</v>
      </c>
      <c r="DP97" s="66">
        <v>51.7</v>
      </c>
      <c r="DQ97" s="67">
        <v>55066.55</v>
      </c>
      <c r="DR97" s="53">
        <v>19.399999999999999</v>
      </c>
      <c r="DS97" s="58">
        <v>69.099999999999994</v>
      </c>
      <c r="DT97" s="53">
        <v>41.4</v>
      </c>
      <c r="DU97" s="55">
        <v>2.6</v>
      </c>
      <c r="DV97" s="50">
        <v>33.299999999999997</v>
      </c>
      <c r="DW97" s="53">
        <v>73.900000000000006</v>
      </c>
      <c r="DX97" s="53">
        <v>85.620599999999996</v>
      </c>
      <c r="DY97" s="53">
        <v>42.246299999999998</v>
      </c>
      <c r="DZ97" s="63"/>
    </row>
    <row r="98" spans="1:130" s="5" customFormat="1" ht="14.25" hidden="1" customHeight="1">
      <c r="A98" s="45">
        <v>1150</v>
      </c>
      <c r="B98" s="46" t="s">
        <v>110</v>
      </c>
      <c r="C98" s="47">
        <v>2000</v>
      </c>
      <c r="D98" s="47" t="s">
        <v>134</v>
      </c>
      <c r="E98" s="46" t="s">
        <v>95</v>
      </c>
      <c r="F98" s="46">
        <v>4</v>
      </c>
      <c r="G98" s="48">
        <v>10000</v>
      </c>
      <c r="H98" s="46" t="s">
        <v>332</v>
      </c>
      <c r="I98" s="46">
        <v>1</v>
      </c>
      <c r="J98" s="46">
        <v>5</v>
      </c>
      <c r="K98" s="49" t="s">
        <v>167</v>
      </c>
      <c r="L98" s="49" t="s">
        <v>30</v>
      </c>
      <c r="M98" s="49" t="s">
        <v>29</v>
      </c>
      <c r="N98" s="49"/>
      <c r="O98" s="49"/>
      <c r="P98" s="49" t="s">
        <v>201</v>
      </c>
      <c r="Q98" s="49" t="s">
        <v>35</v>
      </c>
      <c r="R98" s="49">
        <v>2</v>
      </c>
      <c r="S98" s="50">
        <f t="shared" si="42"/>
        <v>40</v>
      </c>
      <c r="T98" s="49">
        <v>3</v>
      </c>
      <c r="U98" s="50">
        <f t="shared" si="43"/>
        <v>60</v>
      </c>
      <c r="V98" s="49" t="s">
        <v>861</v>
      </c>
      <c r="W98" s="49">
        <v>1</v>
      </c>
      <c r="X98" s="50">
        <f t="shared" si="44"/>
        <v>20</v>
      </c>
      <c r="Y98" s="51" t="str">
        <f t="shared" si="45"/>
        <v>No</v>
      </c>
      <c r="Z98" s="45"/>
      <c r="AA98" s="45"/>
      <c r="AB98" s="45"/>
      <c r="AC98" s="46" t="s">
        <v>26</v>
      </c>
      <c r="AD98" s="46" t="s">
        <v>27</v>
      </c>
      <c r="AE98" s="46" t="s">
        <v>89</v>
      </c>
      <c r="AF98" s="46" t="s">
        <v>29</v>
      </c>
      <c r="AG98" s="103"/>
      <c r="AH98" s="70">
        <f>SUM(3009+2951+2859+522+451)</f>
        <v>9792</v>
      </c>
      <c r="AI98" s="52">
        <v>13861</v>
      </c>
      <c r="AJ98" s="102">
        <v>30.1</v>
      </c>
      <c r="AK98" s="104">
        <v>60.2</v>
      </c>
      <c r="AL98" s="102">
        <v>78.84</v>
      </c>
      <c r="AM98" s="102"/>
      <c r="AN98" s="53">
        <f t="shared" si="46"/>
        <v>157.68</v>
      </c>
      <c r="AO98" s="53"/>
      <c r="AP98" s="102"/>
      <c r="AQ98" s="102"/>
      <c r="AR98" s="102"/>
      <c r="AS98" s="102"/>
      <c r="AT98" s="102"/>
      <c r="AU98" s="102"/>
      <c r="AV98" s="102"/>
      <c r="AW98" s="102"/>
      <c r="AX98" s="102"/>
      <c r="AY98" s="102"/>
      <c r="AZ98" s="102"/>
      <c r="BA98" s="102"/>
      <c r="BB98" s="102"/>
      <c r="BC98" s="102"/>
      <c r="BD98" s="102"/>
      <c r="BE98" s="102"/>
      <c r="BF98" s="102"/>
      <c r="BG98" s="102"/>
      <c r="BH98" s="102"/>
      <c r="BI98" s="102"/>
      <c r="BJ98" s="102"/>
      <c r="BK98" s="102"/>
      <c r="BL98" s="102"/>
      <c r="BM98" s="102"/>
      <c r="BN98" s="102"/>
      <c r="BO98" s="102"/>
      <c r="BP98" s="102"/>
      <c r="BQ98" s="102"/>
      <c r="BR98" s="102"/>
      <c r="BS98" s="54"/>
      <c r="BT98" s="45"/>
      <c r="BU98" s="45"/>
      <c r="BV98" s="45"/>
      <c r="BW98" s="55">
        <v>87.726444032874198</v>
      </c>
      <c r="BX98" s="55"/>
      <c r="BY98" s="55">
        <v>87.471444032874174</v>
      </c>
      <c r="BZ98" s="55"/>
      <c r="CA98" s="45">
        <v>2000</v>
      </c>
      <c r="CB98" s="55">
        <f t="shared" si="47"/>
        <v>34.325549144399595</v>
      </c>
      <c r="CC98" s="46" t="s">
        <v>150</v>
      </c>
      <c r="CD98" s="46" t="s">
        <v>151</v>
      </c>
      <c r="CE98" s="46" t="s">
        <v>783</v>
      </c>
      <c r="CF98" s="46">
        <v>2</v>
      </c>
      <c r="CG98" s="46" t="str">
        <f t="shared" si="48"/>
        <v>Yes</v>
      </c>
      <c r="CH98" s="46" t="s">
        <v>29</v>
      </c>
      <c r="CI98" s="56">
        <v>300</v>
      </c>
      <c r="CJ98" s="46">
        <v>50</v>
      </c>
      <c r="CK98" s="46" t="s">
        <v>23</v>
      </c>
      <c r="CL98" s="49" t="s">
        <v>29</v>
      </c>
      <c r="CM98" s="50">
        <v>0</v>
      </c>
      <c r="CN98" s="50"/>
      <c r="CO98" s="50"/>
      <c r="CP98" s="46" t="s">
        <v>23</v>
      </c>
      <c r="CQ98" s="46" t="s">
        <v>24</v>
      </c>
      <c r="CR98" s="46">
        <v>7</v>
      </c>
      <c r="CS98" s="46" t="s">
        <v>855</v>
      </c>
      <c r="CT98" s="46" t="s">
        <v>856</v>
      </c>
      <c r="CU98" s="46" t="s">
        <v>74</v>
      </c>
      <c r="CV98" s="46">
        <v>3</v>
      </c>
      <c r="CW98" s="46" t="s">
        <v>23</v>
      </c>
      <c r="CX98" s="49" t="s">
        <v>743</v>
      </c>
      <c r="CY98" s="49" t="s">
        <v>51</v>
      </c>
      <c r="CZ98" s="49">
        <v>0</v>
      </c>
      <c r="DA98" s="49">
        <v>1</v>
      </c>
      <c r="DB98" s="64">
        <v>40381</v>
      </c>
      <c r="DC98" s="58">
        <v>27.3</v>
      </c>
      <c r="DD98" s="58">
        <v>48.9</v>
      </c>
      <c r="DE98" s="58">
        <v>7.1800000000000006</v>
      </c>
      <c r="DF98" s="58">
        <v>11.87</v>
      </c>
      <c r="DG98" s="58">
        <v>6.6219261533889702</v>
      </c>
      <c r="DH98" s="58">
        <v>72.7</v>
      </c>
      <c r="DI98" s="45" t="s">
        <v>35</v>
      </c>
      <c r="DJ98" s="59" t="str">
        <f t="shared" si="49"/>
        <v>No single majority group</v>
      </c>
      <c r="DK98" s="65">
        <v>40381</v>
      </c>
      <c r="DL98" s="58">
        <v>27.3</v>
      </c>
      <c r="DM98" s="58">
        <v>48.9</v>
      </c>
      <c r="DN98" s="58">
        <v>7.1800000000000006</v>
      </c>
      <c r="DO98" s="58">
        <v>72.7</v>
      </c>
      <c r="DP98" s="66">
        <v>51.7</v>
      </c>
      <c r="DQ98" s="67">
        <v>55066.55</v>
      </c>
      <c r="DR98" s="53">
        <v>19.399999999999999</v>
      </c>
      <c r="DS98" s="58">
        <v>69.099999999999994</v>
      </c>
      <c r="DT98" s="53">
        <v>41.4</v>
      </c>
      <c r="DU98" s="55">
        <v>2.6</v>
      </c>
      <c r="DV98" s="50">
        <v>33.299999999999997</v>
      </c>
      <c r="DW98" s="53">
        <v>73.900000000000006</v>
      </c>
      <c r="DX98" s="53">
        <v>85.620599999999996</v>
      </c>
      <c r="DY98" s="53">
        <v>42.246299999999998</v>
      </c>
      <c r="DZ98" s="63"/>
    </row>
    <row r="99" spans="1:130" s="5" customFormat="1" ht="14.25" hidden="1" customHeight="1">
      <c r="A99" s="45">
        <v>1152</v>
      </c>
      <c r="B99" s="46" t="s">
        <v>110</v>
      </c>
      <c r="C99" s="47">
        <v>2000</v>
      </c>
      <c r="D99" s="47" t="s">
        <v>138</v>
      </c>
      <c r="E99" s="46" t="s">
        <v>98</v>
      </c>
      <c r="F99" s="46">
        <v>4</v>
      </c>
      <c r="G99" s="48">
        <v>10000</v>
      </c>
      <c r="H99" s="46" t="s">
        <v>332</v>
      </c>
      <c r="I99" s="46">
        <v>1</v>
      </c>
      <c r="J99" s="46">
        <v>1</v>
      </c>
      <c r="K99" s="49" t="s">
        <v>137</v>
      </c>
      <c r="L99" s="49" t="s">
        <v>30</v>
      </c>
      <c r="M99" s="49" t="s">
        <v>29</v>
      </c>
      <c r="N99" s="49"/>
      <c r="O99" s="49"/>
      <c r="P99" s="49" t="s">
        <v>857</v>
      </c>
      <c r="Q99" s="49" t="s">
        <v>35</v>
      </c>
      <c r="R99" s="49">
        <v>0</v>
      </c>
      <c r="S99" s="50">
        <f t="shared" si="42"/>
        <v>0</v>
      </c>
      <c r="T99" s="49">
        <v>1</v>
      </c>
      <c r="U99" s="50">
        <f t="shared" si="43"/>
        <v>100</v>
      </c>
      <c r="V99" s="49" t="s">
        <v>789</v>
      </c>
      <c r="W99" s="49">
        <v>0</v>
      </c>
      <c r="X99" s="50">
        <f t="shared" si="44"/>
        <v>0</v>
      </c>
      <c r="Y99" s="51" t="str">
        <f t="shared" si="45"/>
        <v>No</v>
      </c>
      <c r="Z99" s="45"/>
      <c r="AA99" s="45"/>
      <c r="AB99" s="45"/>
      <c r="AC99" s="46" t="s">
        <v>151</v>
      </c>
      <c r="AD99" s="46" t="s">
        <v>168</v>
      </c>
      <c r="AE99" s="46" t="s">
        <v>89</v>
      </c>
      <c r="AF99" s="46" t="s">
        <v>29</v>
      </c>
      <c r="AG99" s="103"/>
      <c r="AH99" s="52">
        <v>4645</v>
      </c>
      <c r="AI99" s="52">
        <v>4645</v>
      </c>
      <c r="AJ99" s="102">
        <v>100</v>
      </c>
      <c r="AK99" s="104">
        <v>200</v>
      </c>
      <c r="AL99" s="102">
        <v>100</v>
      </c>
      <c r="AM99" s="102"/>
      <c r="AN99" s="53">
        <f t="shared" si="46"/>
        <v>200</v>
      </c>
      <c r="AO99" s="53"/>
      <c r="AP99" s="102"/>
      <c r="AQ99" s="102"/>
      <c r="AR99" s="50"/>
      <c r="AS99" s="50"/>
      <c r="AT99" s="102"/>
      <c r="AU99" s="102"/>
      <c r="AV99" s="50"/>
      <c r="AW99" s="50"/>
      <c r="AX99" s="50"/>
      <c r="AY99" s="50"/>
      <c r="AZ99" s="102"/>
      <c r="BA99" s="102"/>
      <c r="BB99" s="102"/>
      <c r="BC99" s="102"/>
      <c r="BD99" s="50"/>
      <c r="BE99" s="50"/>
      <c r="BF99" s="50"/>
      <c r="BG99" s="50"/>
      <c r="BH99" s="102"/>
      <c r="BI99" s="102"/>
      <c r="BJ99" s="50"/>
      <c r="BK99" s="50"/>
      <c r="BL99" s="50"/>
      <c r="BM99" s="50"/>
      <c r="BN99" s="102"/>
      <c r="BO99" s="50"/>
      <c r="BP99" s="50"/>
      <c r="BQ99" s="50"/>
      <c r="BR99" s="102"/>
      <c r="BS99" s="54"/>
      <c r="BT99" s="45"/>
      <c r="BU99" s="45"/>
      <c r="BV99" s="45"/>
      <c r="BW99" s="55">
        <v>87.726444032874198</v>
      </c>
      <c r="BX99" s="55"/>
      <c r="BY99" s="55">
        <v>87.471444032874174</v>
      </c>
      <c r="BZ99" s="55"/>
      <c r="CA99" s="45">
        <v>2000</v>
      </c>
      <c r="CB99" s="55">
        <f t="shared" si="47"/>
        <v>18.388756927949327</v>
      </c>
      <c r="CC99" s="46" t="s">
        <v>150</v>
      </c>
      <c r="CD99" s="46" t="s">
        <v>151</v>
      </c>
      <c r="CE99" s="46" t="s">
        <v>783</v>
      </c>
      <c r="CF99" s="46">
        <v>2</v>
      </c>
      <c r="CG99" s="46" t="str">
        <f t="shared" si="48"/>
        <v>Yes</v>
      </c>
      <c r="CH99" s="46" t="s">
        <v>29</v>
      </c>
      <c r="CI99" s="56">
        <v>300</v>
      </c>
      <c r="CJ99" s="46">
        <v>50</v>
      </c>
      <c r="CK99" s="46" t="s">
        <v>23</v>
      </c>
      <c r="CL99" s="49" t="s">
        <v>29</v>
      </c>
      <c r="CM99" s="50">
        <v>0</v>
      </c>
      <c r="CN99" s="50"/>
      <c r="CO99" s="50"/>
      <c r="CP99" s="46" t="s">
        <v>23</v>
      </c>
      <c r="CQ99" s="46" t="s">
        <v>24</v>
      </c>
      <c r="CR99" s="46">
        <v>7</v>
      </c>
      <c r="CS99" s="46" t="s">
        <v>855</v>
      </c>
      <c r="CT99" s="46" t="s">
        <v>856</v>
      </c>
      <c r="CU99" s="46" t="s">
        <v>74</v>
      </c>
      <c r="CV99" s="46">
        <v>3</v>
      </c>
      <c r="CW99" s="46" t="s">
        <v>23</v>
      </c>
      <c r="CX99" s="49" t="s">
        <v>743</v>
      </c>
      <c r="CY99" s="49" t="s">
        <v>51</v>
      </c>
      <c r="CZ99" s="49">
        <v>0</v>
      </c>
      <c r="DA99" s="49">
        <v>1</v>
      </c>
      <c r="DB99" s="64">
        <v>25260</v>
      </c>
      <c r="DC99" s="58">
        <v>24.990000000000002</v>
      </c>
      <c r="DD99" s="58">
        <v>31.319999999999997</v>
      </c>
      <c r="DE99" s="58">
        <v>20.119999999999997</v>
      </c>
      <c r="DF99" s="58">
        <v>18.02</v>
      </c>
      <c r="DG99" s="58">
        <v>7.3713380839271574</v>
      </c>
      <c r="DH99" s="58">
        <v>75.010000000000005</v>
      </c>
      <c r="DI99" s="45" t="s">
        <v>35</v>
      </c>
      <c r="DJ99" s="59" t="str">
        <f t="shared" si="49"/>
        <v>No single majority group</v>
      </c>
      <c r="DK99" s="65">
        <v>25260</v>
      </c>
      <c r="DL99" s="58">
        <v>24.990000000000002</v>
      </c>
      <c r="DM99" s="58">
        <v>31.319999999999997</v>
      </c>
      <c r="DN99" s="58">
        <v>20.119999999999997</v>
      </c>
      <c r="DO99" s="58">
        <v>75.010000000000005</v>
      </c>
      <c r="DP99" s="66">
        <v>51.7</v>
      </c>
      <c r="DQ99" s="67">
        <v>55066.55</v>
      </c>
      <c r="DR99" s="53">
        <v>19.399999999999999</v>
      </c>
      <c r="DS99" s="58">
        <v>69.099999999999994</v>
      </c>
      <c r="DT99" s="53">
        <v>41.4</v>
      </c>
      <c r="DU99" s="55">
        <v>2.6</v>
      </c>
      <c r="DV99" s="50">
        <v>33.299999999999997</v>
      </c>
      <c r="DW99" s="53">
        <v>73.900000000000006</v>
      </c>
      <c r="DX99" s="53">
        <v>85.620599999999996</v>
      </c>
      <c r="DY99" s="53">
        <v>42.246299999999998</v>
      </c>
      <c r="DZ99" s="63"/>
    </row>
    <row r="100" spans="1:130" s="5" customFormat="1" ht="14.25" hidden="1" customHeight="1">
      <c r="A100" s="45">
        <v>1154</v>
      </c>
      <c r="B100" s="46" t="s">
        <v>110</v>
      </c>
      <c r="C100" s="47">
        <v>2000</v>
      </c>
      <c r="D100" s="47" t="s">
        <v>141</v>
      </c>
      <c r="E100" s="46" t="s">
        <v>83</v>
      </c>
      <c r="F100" s="46">
        <v>4</v>
      </c>
      <c r="G100" s="48">
        <v>10000</v>
      </c>
      <c r="H100" s="46" t="s">
        <v>332</v>
      </c>
      <c r="I100" s="46">
        <v>1</v>
      </c>
      <c r="J100" s="46">
        <v>4</v>
      </c>
      <c r="K100" s="49" t="s">
        <v>176</v>
      </c>
      <c r="L100" s="49" t="s">
        <v>30</v>
      </c>
      <c r="M100" s="49" t="s">
        <v>29</v>
      </c>
      <c r="N100" s="49"/>
      <c r="O100" s="49"/>
      <c r="P100" s="49" t="s">
        <v>201</v>
      </c>
      <c r="Q100" s="49" t="s">
        <v>35</v>
      </c>
      <c r="R100" s="49">
        <v>0</v>
      </c>
      <c r="S100" s="50">
        <f t="shared" si="42"/>
        <v>0</v>
      </c>
      <c r="T100" s="49">
        <v>3</v>
      </c>
      <c r="U100" s="50">
        <f t="shared" si="43"/>
        <v>75</v>
      </c>
      <c r="V100" s="49" t="s">
        <v>861</v>
      </c>
      <c r="W100" s="49">
        <v>0</v>
      </c>
      <c r="X100" s="50">
        <f t="shared" si="44"/>
        <v>0</v>
      </c>
      <c r="Y100" s="51" t="str">
        <f t="shared" si="45"/>
        <v>No</v>
      </c>
      <c r="Z100" s="45"/>
      <c r="AA100" s="45"/>
      <c r="AB100" s="45"/>
      <c r="AC100" s="46" t="s">
        <v>26</v>
      </c>
      <c r="AD100" s="46" t="s">
        <v>27</v>
      </c>
      <c r="AE100" s="46" t="s">
        <v>89</v>
      </c>
      <c r="AF100" s="46" t="s">
        <v>29</v>
      </c>
      <c r="AG100" s="103"/>
      <c r="AH100" s="64">
        <f>SUM(4527+2983+1066+637)</f>
        <v>9213</v>
      </c>
      <c r="AI100" s="52">
        <v>13269</v>
      </c>
      <c r="AJ100" s="102">
        <v>49.1</v>
      </c>
      <c r="AK100" s="104">
        <v>98.2</v>
      </c>
      <c r="AL100" s="102">
        <v>68.02</v>
      </c>
      <c r="AM100" s="102"/>
      <c r="AN100" s="53">
        <f t="shared" si="46"/>
        <v>136.04</v>
      </c>
      <c r="AO100" s="53"/>
      <c r="AP100" s="102"/>
      <c r="AQ100" s="102"/>
      <c r="AR100" s="50"/>
      <c r="AS100" s="50"/>
      <c r="AT100" s="102"/>
      <c r="AU100" s="102"/>
      <c r="AV100" s="50"/>
      <c r="AW100" s="50"/>
      <c r="AX100" s="50"/>
      <c r="AY100" s="50"/>
      <c r="AZ100" s="102"/>
      <c r="BA100" s="102"/>
      <c r="BB100" s="102"/>
      <c r="BC100" s="102"/>
      <c r="BD100" s="50"/>
      <c r="BE100" s="50"/>
      <c r="BF100" s="50"/>
      <c r="BG100" s="50"/>
      <c r="BH100" s="102"/>
      <c r="BI100" s="102"/>
      <c r="BJ100" s="50"/>
      <c r="BK100" s="50"/>
      <c r="BL100" s="50"/>
      <c r="BM100" s="50"/>
      <c r="BN100" s="102"/>
      <c r="BO100" s="50"/>
      <c r="BP100" s="50"/>
      <c r="BQ100" s="50"/>
      <c r="BR100" s="102"/>
      <c r="BS100" s="54"/>
      <c r="BT100" s="45"/>
      <c r="BU100" s="45"/>
      <c r="BV100" s="45"/>
      <c r="BW100" s="55">
        <v>87.726444032874198</v>
      </c>
      <c r="BX100" s="55"/>
      <c r="BY100" s="55">
        <v>87.471444032874174</v>
      </c>
      <c r="BZ100" s="55"/>
      <c r="CA100" s="45">
        <v>2000</v>
      </c>
      <c r="CB100" s="55">
        <f t="shared" si="47"/>
        <v>43.085365457674449</v>
      </c>
      <c r="CC100" s="46" t="s">
        <v>150</v>
      </c>
      <c r="CD100" s="46" t="s">
        <v>151</v>
      </c>
      <c r="CE100" s="46" t="s">
        <v>783</v>
      </c>
      <c r="CF100" s="46">
        <v>2</v>
      </c>
      <c r="CG100" s="46" t="str">
        <f t="shared" si="48"/>
        <v>Yes</v>
      </c>
      <c r="CH100" s="46" t="s">
        <v>29</v>
      </c>
      <c r="CI100" s="56">
        <v>300</v>
      </c>
      <c r="CJ100" s="46">
        <v>50</v>
      </c>
      <c r="CK100" s="46" t="s">
        <v>23</v>
      </c>
      <c r="CL100" s="49" t="s">
        <v>29</v>
      </c>
      <c r="CM100" s="50">
        <v>0</v>
      </c>
      <c r="CN100" s="50"/>
      <c r="CO100" s="50"/>
      <c r="CP100" s="46" t="s">
        <v>23</v>
      </c>
      <c r="CQ100" s="46" t="s">
        <v>24</v>
      </c>
      <c r="CR100" s="46">
        <v>7</v>
      </c>
      <c r="CS100" s="46" t="s">
        <v>855</v>
      </c>
      <c r="CT100" s="46" t="s">
        <v>856</v>
      </c>
      <c r="CU100" s="46" t="s">
        <v>74</v>
      </c>
      <c r="CV100" s="46">
        <v>3</v>
      </c>
      <c r="CW100" s="46" t="s">
        <v>23</v>
      </c>
      <c r="CX100" s="49" t="s">
        <v>743</v>
      </c>
      <c r="CY100" s="49" t="s">
        <v>51</v>
      </c>
      <c r="CZ100" s="49">
        <v>0</v>
      </c>
      <c r="DA100" s="49">
        <v>1</v>
      </c>
      <c r="DB100" s="64">
        <v>30797</v>
      </c>
      <c r="DC100" s="58">
        <v>10.67</v>
      </c>
      <c r="DD100" s="58">
        <v>70.45</v>
      </c>
      <c r="DE100" s="58">
        <v>12.01</v>
      </c>
      <c r="DF100" s="58">
        <v>2.94</v>
      </c>
      <c r="DG100" s="58">
        <v>4.9063220443549698</v>
      </c>
      <c r="DH100" s="58">
        <v>89.33</v>
      </c>
      <c r="DI100" s="45" t="s">
        <v>35</v>
      </c>
      <c r="DJ100" s="59" t="str">
        <f t="shared" si="49"/>
        <v>African American</v>
      </c>
      <c r="DK100" s="65">
        <v>30797</v>
      </c>
      <c r="DL100" s="58">
        <v>10.67</v>
      </c>
      <c r="DM100" s="58">
        <v>70.45</v>
      </c>
      <c r="DN100" s="58">
        <v>12.01</v>
      </c>
      <c r="DO100" s="58">
        <v>89.33</v>
      </c>
      <c r="DP100" s="66">
        <v>51.7</v>
      </c>
      <c r="DQ100" s="67">
        <v>55066.55</v>
      </c>
      <c r="DR100" s="53">
        <v>19.399999999999999</v>
      </c>
      <c r="DS100" s="58">
        <v>69.099999999999994</v>
      </c>
      <c r="DT100" s="53">
        <v>41.4</v>
      </c>
      <c r="DU100" s="55">
        <v>2.6</v>
      </c>
      <c r="DV100" s="50">
        <v>33.299999999999997</v>
      </c>
      <c r="DW100" s="53">
        <v>73.900000000000006</v>
      </c>
      <c r="DX100" s="53">
        <v>85.620599999999996</v>
      </c>
      <c r="DY100" s="53">
        <v>42.246299999999998</v>
      </c>
      <c r="DZ100" s="63"/>
    </row>
    <row r="101" spans="1:130" s="5" customFormat="1" ht="14.25" hidden="1" customHeight="1">
      <c r="A101" s="45">
        <v>1138</v>
      </c>
      <c r="B101" s="46" t="s">
        <v>110</v>
      </c>
      <c r="C101" s="47">
        <v>2002</v>
      </c>
      <c r="D101" s="47" t="s">
        <v>160</v>
      </c>
      <c r="E101" s="46" t="s">
        <v>22</v>
      </c>
      <c r="F101" s="46">
        <v>4</v>
      </c>
      <c r="G101" s="48">
        <v>151741</v>
      </c>
      <c r="H101" s="46" t="s">
        <v>249</v>
      </c>
      <c r="I101" s="46">
        <v>1</v>
      </c>
      <c r="J101" s="46">
        <v>1</v>
      </c>
      <c r="K101" s="49" t="s">
        <v>169</v>
      </c>
      <c r="L101" s="49" t="s">
        <v>30</v>
      </c>
      <c r="M101" s="49" t="s">
        <v>29</v>
      </c>
      <c r="N101" s="49" t="s">
        <v>513</v>
      </c>
      <c r="O101" s="49"/>
      <c r="P101" s="49" t="s">
        <v>31</v>
      </c>
      <c r="Q101" s="49" t="s">
        <v>29</v>
      </c>
      <c r="R101" s="49">
        <v>0</v>
      </c>
      <c r="S101" s="50">
        <f t="shared" si="42"/>
        <v>0</v>
      </c>
      <c r="T101" s="49">
        <v>0</v>
      </c>
      <c r="U101" s="50">
        <f t="shared" si="43"/>
        <v>0</v>
      </c>
      <c r="V101" s="45"/>
      <c r="W101" s="49">
        <v>0</v>
      </c>
      <c r="X101" s="50">
        <f t="shared" si="44"/>
        <v>0</v>
      </c>
      <c r="Y101" s="51" t="str">
        <f t="shared" si="45"/>
        <v>No</v>
      </c>
      <c r="Z101" s="45" t="s">
        <v>29</v>
      </c>
      <c r="AA101" s="49" t="s">
        <v>29</v>
      </c>
      <c r="AB101" s="49" t="s">
        <v>29</v>
      </c>
      <c r="AC101" s="46" t="s">
        <v>151</v>
      </c>
      <c r="AD101" s="46" t="s">
        <v>168</v>
      </c>
      <c r="AE101" s="46" t="s">
        <v>73</v>
      </c>
      <c r="AF101" s="46" t="s">
        <v>29</v>
      </c>
      <c r="AG101" s="103"/>
      <c r="AH101" s="52">
        <v>37280</v>
      </c>
      <c r="AI101" s="52">
        <v>37280</v>
      </c>
      <c r="AJ101" s="102">
        <v>100</v>
      </c>
      <c r="AK101" s="104">
        <v>200</v>
      </c>
      <c r="AL101" s="102">
        <v>100</v>
      </c>
      <c r="AM101" s="102"/>
      <c r="AN101" s="53">
        <f t="shared" si="46"/>
        <v>200</v>
      </c>
      <c r="AO101" s="53" t="s">
        <v>23</v>
      </c>
      <c r="AP101" s="102"/>
      <c r="AQ101" s="102"/>
      <c r="AR101" s="50"/>
      <c r="AS101" s="50"/>
      <c r="AT101" s="102"/>
      <c r="AU101" s="102"/>
      <c r="AV101" s="50"/>
      <c r="AW101" s="50"/>
      <c r="AX101" s="50"/>
      <c r="AY101" s="50"/>
      <c r="AZ101" s="102"/>
      <c r="BA101" s="102"/>
      <c r="BB101" s="102"/>
      <c r="BC101" s="102"/>
      <c r="BD101" s="50"/>
      <c r="BE101" s="50"/>
      <c r="BF101" s="50"/>
      <c r="BG101" s="50"/>
      <c r="BH101" s="102"/>
      <c r="BI101" s="102"/>
      <c r="BJ101" s="50"/>
      <c r="BK101" s="50"/>
      <c r="BL101" s="50"/>
      <c r="BM101" s="50"/>
      <c r="BN101" s="102"/>
      <c r="BO101" s="50"/>
      <c r="BP101" s="50"/>
      <c r="BQ101" s="50"/>
      <c r="BR101" s="102"/>
      <c r="BS101" s="54" t="s">
        <v>23</v>
      </c>
      <c r="BT101" s="45" t="str">
        <f>IF(J101=I101, "No", IF(AJ101/AO101&lt;2, "Yes", "No"))</f>
        <v>No</v>
      </c>
      <c r="BU101" s="45" t="str">
        <f>IF(J101=I101, "No", IF(AJ101/AO101&lt;1.5, "Yes", "No"))</f>
        <v>No</v>
      </c>
      <c r="BV101" s="45" t="str">
        <f>IF(J101=I101, "No", IF((ABS(AJ101-AO101))&lt;(5/I101), "Yes", "No"))</f>
        <v>No</v>
      </c>
      <c r="BW101" s="55">
        <v>87.726444032874198</v>
      </c>
      <c r="BX101" s="55">
        <v>87.726444032874198</v>
      </c>
      <c r="BY101" s="55">
        <v>87.471444032874189</v>
      </c>
      <c r="BZ101" s="55">
        <f>BX101-(0.0051*100/2)</f>
        <v>87.471444032874203</v>
      </c>
      <c r="CA101" s="45">
        <v>2000</v>
      </c>
      <c r="CB101" s="55">
        <f t="shared" si="47"/>
        <v>15.438131522279278</v>
      </c>
      <c r="CC101" s="46" t="s">
        <v>150</v>
      </c>
      <c r="CD101" s="46" t="s">
        <v>151</v>
      </c>
      <c r="CE101" s="46" t="s">
        <v>783</v>
      </c>
      <c r="CF101" s="46">
        <v>2</v>
      </c>
      <c r="CG101" s="46" t="str">
        <f t="shared" si="48"/>
        <v>Yes</v>
      </c>
      <c r="CH101" s="46" t="s">
        <v>29</v>
      </c>
      <c r="CI101" s="56">
        <v>300</v>
      </c>
      <c r="CJ101" s="46">
        <v>50</v>
      </c>
      <c r="CK101" s="46" t="s">
        <v>23</v>
      </c>
      <c r="CL101" s="49" t="s">
        <v>29</v>
      </c>
      <c r="CM101" s="50">
        <v>0</v>
      </c>
      <c r="CN101" s="50"/>
      <c r="CO101" s="50"/>
      <c r="CP101" s="46" t="s">
        <v>23</v>
      </c>
      <c r="CQ101" s="46" t="s">
        <v>23</v>
      </c>
      <c r="CR101" s="46">
        <v>7</v>
      </c>
      <c r="CS101" s="46" t="s">
        <v>855</v>
      </c>
      <c r="CT101" s="71" t="s">
        <v>53</v>
      </c>
      <c r="CU101" s="46" t="s">
        <v>74</v>
      </c>
      <c r="CV101" s="46">
        <v>2</v>
      </c>
      <c r="CW101" s="46" t="s">
        <v>23</v>
      </c>
      <c r="CX101" s="49" t="s">
        <v>743</v>
      </c>
      <c r="CY101" s="49" t="s">
        <v>36</v>
      </c>
      <c r="CZ101" s="49">
        <v>0</v>
      </c>
      <c r="DA101" s="49">
        <v>1</v>
      </c>
      <c r="DB101" s="64">
        <v>241480</v>
      </c>
      <c r="DC101" s="58">
        <v>32.800000000000004</v>
      </c>
      <c r="DD101" s="58">
        <v>40.949999999999996</v>
      </c>
      <c r="DE101" s="58">
        <v>9.59</v>
      </c>
      <c r="DF101" s="58">
        <v>12.3</v>
      </c>
      <c r="DG101" s="58">
        <v>4.3599999999999977</v>
      </c>
      <c r="DH101" s="58">
        <v>67.199999999999989</v>
      </c>
      <c r="DI101" s="45" t="s">
        <v>35</v>
      </c>
      <c r="DJ101" s="59" t="str">
        <f t="shared" si="49"/>
        <v>No single majority group</v>
      </c>
      <c r="DK101" s="65">
        <v>241480</v>
      </c>
      <c r="DL101" s="58">
        <v>32.800000000000004</v>
      </c>
      <c r="DM101" s="58">
        <v>40.949999999999996</v>
      </c>
      <c r="DN101" s="58">
        <v>9.59</v>
      </c>
      <c r="DO101" s="58">
        <v>67.199999999999989</v>
      </c>
      <c r="DP101" s="66">
        <v>51.7</v>
      </c>
      <c r="DQ101" s="67">
        <v>55066.55</v>
      </c>
      <c r="DR101" s="53">
        <v>19.399999999999999</v>
      </c>
      <c r="DS101" s="58">
        <v>69.099999999999994</v>
      </c>
      <c r="DT101" s="53">
        <v>41.4</v>
      </c>
      <c r="DU101" s="55">
        <v>2.6</v>
      </c>
      <c r="DV101" s="50">
        <v>33.299999999999997</v>
      </c>
      <c r="DW101" s="53">
        <v>73.900000000000006</v>
      </c>
      <c r="DX101" s="53">
        <v>85.620599999999996</v>
      </c>
      <c r="DY101" s="53">
        <v>42.246299999999998</v>
      </c>
      <c r="DZ101" s="63"/>
    </row>
    <row r="102" spans="1:130" s="5" customFormat="1" ht="14.25" hidden="1" customHeight="1">
      <c r="A102" s="45">
        <v>1139</v>
      </c>
      <c r="B102" s="46" t="s">
        <v>110</v>
      </c>
      <c r="C102" s="47">
        <v>2002</v>
      </c>
      <c r="D102" s="47" t="s">
        <v>91</v>
      </c>
      <c r="E102" s="71" t="s">
        <v>92</v>
      </c>
      <c r="F102" s="46">
        <v>4</v>
      </c>
      <c r="G102" s="48">
        <v>82204</v>
      </c>
      <c r="H102" s="46" t="s">
        <v>249</v>
      </c>
      <c r="I102" s="46">
        <v>1</v>
      </c>
      <c r="J102" s="46">
        <v>1</v>
      </c>
      <c r="K102" s="49" t="s">
        <v>171</v>
      </c>
      <c r="L102" s="49" t="s">
        <v>30</v>
      </c>
      <c r="M102" s="49" t="s">
        <v>29</v>
      </c>
      <c r="N102" s="49" t="s">
        <v>512</v>
      </c>
      <c r="O102" s="49"/>
      <c r="P102" s="49" t="s">
        <v>34</v>
      </c>
      <c r="Q102" s="49" t="s">
        <v>35</v>
      </c>
      <c r="R102" s="49">
        <v>0</v>
      </c>
      <c r="S102" s="50">
        <f t="shared" si="42"/>
        <v>0</v>
      </c>
      <c r="T102" s="49">
        <v>1</v>
      </c>
      <c r="U102" s="50">
        <f t="shared" si="43"/>
        <v>100</v>
      </c>
      <c r="V102" s="49" t="s">
        <v>173</v>
      </c>
      <c r="W102" s="49">
        <v>0</v>
      </c>
      <c r="X102" s="50">
        <f t="shared" si="44"/>
        <v>0</v>
      </c>
      <c r="Y102" s="51" t="str">
        <f t="shared" si="45"/>
        <v>No</v>
      </c>
      <c r="Z102" s="45" t="s">
        <v>35</v>
      </c>
      <c r="AA102" s="49" t="s">
        <v>23</v>
      </c>
      <c r="AB102" s="49" t="s">
        <v>23</v>
      </c>
      <c r="AC102" s="46" t="s">
        <v>151</v>
      </c>
      <c r="AD102" s="46" t="s">
        <v>168</v>
      </c>
      <c r="AE102" s="46" t="s">
        <v>73</v>
      </c>
      <c r="AF102" s="46" t="s">
        <v>29</v>
      </c>
      <c r="AG102" s="103"/>
      <c r="AH102" s="52">
        <v>5962</v>
      </c>
      <c r="AI102" s="52">
        <v>5962</v>
      </c>
      <c r="AJ102" s="102">
        <v>100</v>
      </c>
      <c r="AK102" s="104">
        <v>200</v>
      </c>
      <c r="AL102" s="102">
        <v>100</v>
      </c>
      <c r="AM102" s="102"/>
      <c r="AN102" s="53">
        <f t="shared" si="46"/>
        <v>200</v>
      </c>
      <c r="AO102" s="53" t="s">
        <v>23</v>
      </c>
      <c r="AP102" s="102"/>
      <c r="AQ102" s="102"/>
      <c r="AR102" s="50"/>
      <c r="AS102" s="50"/>
      <c r="AT102" s="102"/>
      <c r="AU102" s="102"/>
      <c r="AV102" s="50"/>
      <c r="AW102" s="50"/>
      <c r="AX102" s="50"/>
      <c r="AY102" s="50"/>
      <c r="AZ102" s="102"/>
      <c r="BA102" s="102"/>
      <c r="BB102" s="102"/>
      <c r="BC102" s="102"/>
      <c r="BD102" s="50"/>
      <c r="BE102" s="50"/>
      <c r="BF102" s="50"/>
      <c r="BG102" s="50"/>
      <c r="BH102" s="102"/>
      <c r="BI102" s="102"/>
      <c r="BJ102" s="50"/>
      <c r="BK102" s="50"/>
      <c r="BL102" s="50"/>
      <c r="BM102" s="50"/>
      <c r="BN102" s="102"/>
      <c r="BO102" s="50"/>
      <c r="BP102" s="50"/>
      <c r="BQ102" s="50"/>
      <c r="BR102" s="102"/>
      <c r="BS102" s="54" t="s">
        <v>23</v>
      </c>
      <c r="BT102" s="45" t="str">
        <f>IF(J102=I102, "No", IF(AJ102/AO102&lt;2, "Yes", "No"))</f>
        <v>No</v>
      </c>
      <c r="BU102" s="45" t="str">
        <f>IF(J102=I102, "No", IF(AJ102/AO102&lt;1.5, "Yes", "No"))</f>
        <v>No</v>
      </c>
      <c r="BV102" s="45" t="str">
        <f>IF(J102=I102, "No", IF((ABS(AJ102-AO102))&lt;(5/I102), "Yes", "No"))</f>
        <v>No</v>
      </c>
      <c r="BW102" s="55">
        <v>87.726444032874198</v>
      </c>
      <c r="BX102" s="55"/>
      <c r="BY102" s="55">
        <v>87.471444032874189</v>
      </c>
      <c r="BZ102" s="55"/>
      <c r="CA102" s="45">
        <v>2000</v>
      </c>
      <c r="CB102" s="55">
        <f t="shared" si="47"/>
        <v>17.268645908761769</v>
      </c>
      <c r="CC102" s="46" t="s">
        <v>150</v>
      </c>
      <c r="CD102" s="46" t="s">
        <v>151</v>
      </c>
      <c r="CE102" s="46" t="s">
        <v>783</v>
      </c>
      <c r="CF102" s="46">
        <v>2</v>
      </c>
      <c r="CG102" s="46" t="str">
        <f t="shared" si="48"/>
        <v>Yes</v>
      </c>
      <c r="CH102" s="46" t="s">
        <v>29</v>
      </c>
      <c r="CI102" s="56">
        <v>300</v>
      </c>
      <c r="CJ102" s="46">
        <v>50</v>
      </c>
      <c r="CK102" s="46" t="s">
        <v>23</v>
      </c>
      <c r="CL102" s="49" t="s">
        <v>35</v>
      </c>
      <c r="CM102" s="50">
        <v>0</v>
      </c>
      <c r="CN102" s="50"/>
      <c r="CO102" s="50"/>
      <c r="CP102" s="46" t="s">
        <v>23</v>
      </c>
      <c r="CQ102" s="46" t="s">
        <v>24</v>
      </c>
      <c r="CR102" s="46">
        <v>7</v>
      </c>
      <c r="CS102" s="46" t="s">
        <v>855</v>
      </c>
      <c r="CT102" s="46" t="s">
        <v>856</v>
      </c>
      <c r="CU102" s="46" t="s">
        <v>74</v>
      </c>
      <c r="CV102" s="46">
        <v>3</v>
      </c>
      <c r="CW102" s="46" t="s">
        <v>23</v>
      </c>
      <c r="CX102" s="49" t="s">
        <v>743</v>
      </c>
      <c r="CY102" s="49" t="s">
        <v>36</v>
      </c>
      <c r="CZ102" s="49">
        <v>0</v>
      </c>
      <c r="DA102" s="49">
        <v>1</v>
      </c>
      <c r="DB102" s="64">
        <v>34525</v>
      </c>
      <c r="DC102" s="58">
        <v>32.300000000000004</v>
      </c>
      <c r="DD102" s="58">
        <v>26.150000000000002</v>
      </c>
      <c r="DE102" s="58">
        <v>8.66</v>
      </c>
      <c r="DF102" s="58">
        <v>28.749999999999996</v>
      </c>
      <c r="DG102" s="58">
        <v>5.5496017378711082</v>
      </c>
      <c r="DH102" s="58">
        <v>67.7</v>
      </c>
      <c r="DI102" s="45" t="s">
        <v>35</v>
      </c>
      <c r="DJ102" s="59" t="str">
        <f t="shared" si="49"/>
        <v>No single majority group</v>
      </c>
      <c r="DK102" s="65">
        <v>34525</v>
      </c>
      <c r="DL102" s="58">
        <v>32.300000000000004</v>
      </c>
      <c r="DM102" s="58">
        <v>26.150000000000002</v>
      </c>
      <c r="DN102" s="58">
        <v>8.66</v>
      </c>
      <c r="DO102" s="58">
        <v>67.7</v>
      </c>
      <c r="DP102" s="66">
        <v>51.7</v>
      </c>
      <c r="DQ102" s="67">
        <v>55066.55</v>
      </c>
      <c r="DR102" s="53">
        <v>19.399999999999999</v>
      </c>
      <c r="DS102" s="58">
        <v>69.099999999999994</v>
      </c>
      <c r="DT102" s="53">
        <v>41.4</v>
      </c>
      <c r="DU102" s="55">
        <v>2.6</v>
      </c>
      <c r="DV102" s="50">
        <v>33.299999999999997</v>
      </c>
      <c r="DW102" s="53">
        <v>73.900000000000006</v>
      </c>
      <c r="DX102" s="53">
        <v>85.620599999999996</v>
      </c>
      <c r="DY102" s="53">
        <v>42.246299999999998</v>
      </c>
      <c r="DZ102" s="63"/>
    </row>
    <row r="103" spans="1:130" s="5" customFormat="1" ht="14.25" hidden="1" customHeight="1">
      <c r="A103" s="45">
        <v>1141</v>
      </c>
      <c r="B103" s="46" t="s">
        <v>110</v>
      </c>
      <c r="C103" s="47">
        <v>2002</v>
      </c>
      <c r="D103" s="47" t="s">
        <v>79</v>
      </c>
      <c r="E103" s="71" t="s">
        <v>80</v>
      </c>
      <c r="F103" s="46">
        <v>4</v>
      </c>
      <c r="G103" s="48">
        <v>82204</v>
      </c>
      <c r="H103" s="46" t="s">
        <v>249</v>
      </c>
      <c r="I103" s="46">
        <v>1</v>
      </c>
      <c r="J103" s="46">
        <v>4</v>
      </c>
      <c r="K103" s="49" t="s">
        <v>145</v>
      </c>
      <c r="L103" s="49" t="s">
        <v>40</v>
      </c>
      <c r="M103" s="49" t="s">
        <v>35</v>
      </c>
      <c r="N103" s="49" t="s">
        <v>512</v>
      </c>
      <c r="O103" s="49"/>
      <c r="P103" s="49" t="s">
        <v>34</v>
      </c>
      <c r="Q103" s="49" t="s">
        <v>35</v>
      </c>
      <c r="R103" s="49">
        <v>2</v>
      </c>
      <c r="S103" s="50">
        <f t="shared" si="42"/>
        <v>50</v>
      </c>
      <c r="T103" s="49">
        <v>3</v>
      </c>
      <c r="U103" s="50">
        <f t="shared" si="43"/>
        <v>75</v>
      </c>
      <c r="V103" s="49" t="s">
        <v>866</v>
      </c>
      <c r="W103" s="49">
        <v>2</v>
      </c>
      <c r="X103" s="50">
        <f t="shared" si="44"/>
        <v>50</v>
      </c>
      <c r="Y103" s="51" t="str">
        <f t="shared" si="45"/>
        <v>Yes</v>
      </c>
      <c r="Z103" s="45" t="s">
        <v>35</v>
      </c>
      <c r="AA103" s="49" t="s">
        <v>23</v>
      </c>
      <c r="AB103" s="49" t="s">
        <v>23</v>
      </c>
      <c r="AC103" s="46" t="s">
        <v>26</v>
      </c>
      <c r="AD103" s="46" t="s">
        <v>27</v>
      </c>
      <c r="AE103" s="46" t="s">
        <v>73</v>
      </c>
      <c r="AF103" s="46" t="s">
        <v>29</v>
      </c>
      <c r="AG103" s="103"/>
      <c r="AH103" s="70">
        <f>SUM(6207+5893+1299+282)</f>
        <v>13681</v>
      </c>
      <c r="AI103" s="52">
        <v>18469</v>
      </c>
      <c r="AJ103" s="102">
        <v>43.07</v>
      </c>
      <c r="AK103" s="104">
        <v>86.14</v>
      </c>
      <c r="AL103" s="102">
        <v>54.54</v>
      </c>
      <c r="AM103" s="102"/>
      <c r="AN103" s="53">
        <f t="shared" si="46"/>
        <v>109.08</v>
      </c>
      <c r="AO103" s="53">
        <v>43.07</v>
      </c>
      <c r="AP103" s="102"/>
      <c r="AQ103" s="102"/>
      <c r="AR103" s="102"/>
      <c r="AS103" s="102"/>
      <c r="AT103" s="102"/>
      <c r="AU103" s="102"/>
      <c r="AV103" s="102"/>
      <c r="AW103" s="102"/>
      <c r="AX103" s="102"/>
      <c r="AY103" s="102"/>
      <c r="AZ103" s="102"/>
      <c r="BA103" s="102"/>
      <c r="BB103" s="102"/>
      <c r="BC103" s="102"/>
      <c r="BD103" s="102"/>
      <c r="BE103" s="102"/>
      <c r="BF103" s="102"/>
      <c r="BG103" s="102"/>
      <c r="BH103" s="102"/>
      <c r="BI103" s="102"/>
      <c r="BJ103" s="50"/>
      <c r="BK103" s="50"/>
      <c r="BL103" s="50"/>
      <c r="BM103" s="50"/>
      <c r="BN103" s="102"/>
      <c r="BO103" s="50"/>
      <c r="BP103" s="50"/>
      <c r="BQ103" s="50"/>
      <c r="BR103" s="102"/>
      <c r="BS103" s="54" t="s">
        <v>29</v>
      </c>
      <c r="BT103" s="45" t="str">
        <f>IF(J103=I103, "No", IF(AJ103/AO103&lt;2, "Yes", "No"))</f>
        <v>Yes</v>
      </c>
      <c r="BU103" s="45" t="str">
        <f>IF(J103=I103, "No", IF(AJ103/AO103&lt;1.5, "Yes", "No"))</f>
        <v>Yes</v>
      </c>
      <c r="BV103" s="45" t="str">
        <f>IF(J103=I103, "No", IF((ABS(AJ103-AO103))&lt;(5/I103), "Yes", "No"))</f>
        <v>Yes</v>
      </c>
      <c r="BW103" s="55">
        <v>87.726444032874198</v>
      </c>
      <c r="BX103" s="55"/>
      <c r="BY103" s="55">
        <v>87.471444032874189</v>
      </c>
      <c r="BZ103" s="55"/>
      <c r="CA103" s="45">
        <v>2000</v>
      </c>
      <c r="CB103" s="55">
        <f t="shared" si="47"/>
        <v>48.110135715960297</v>
      </c>
      <c r="CC103" s="46" t="s">
        <v>150</v>
      </c>
      <c r="CD103" s="46" t="s">
        <v>151</v>
      </c>
      <c r="CE103" s="46" t="s">
        <v>783</v>
      </c>
      <c r="CF103" s="46">
        <v>2</v>
      </c>
      <c r="CG103" s="46" t="str">
        <f t="shared" si="48"/>
        <v>Yes</v>
      </c>
      <c r="CH103" s="46" t="s">
        <v>29</v>
      </c>
      <c r="CI103" s="56">
        <v>300</v>
      </c>
      <c r="CJ103" s="46">
        <v>50</v>
      </c>
      <c r="CK103" s="46" t="s">
        <v>23</v>
      </c>
      <c r="CL103" s="49" t="s">
        <v>35</v>
      </c>
      <c r="CM103" s="50">
        <f>(3/4)*100</f>
        <v>75</v>
      </c>
      <c r="CN103" s="102"/>
      <c r="CO103" s="50"/>
      <c r="CP103" s="46" t="s">
        <v>23</v>
      </c>
      <c r="CQ103" s="46" t="s">
        <v>24</v>
      </c>
      <c r="CR103" s="46">
        <v>7</v>
      </c>
      <c r="CS103" s="46" t="s">
        <v>855</v>
      </c>
      <c r="CT103" s="46" t="s">
        <v>856</v>
      </c>
      <c r="CU103" s="46" t="s">
        <v>74</v>
      </c>
      <c r="CV103" s="46">
        <v>2</v>
      </c>
      <c r="CW103" s="46" t="s">
        <v>23</v>
      </c>
      <c r="CX103" s="49" t="s">
        <v>743</v>
      </c>
      <c r="CY103" s="49" t="s">
        <v>36</v>
      </c>
      <c r="CZ103" s="49">
        <v>0</v>
      </c>
      <c r="DA103" s="49">
        <v>1</v>
      </c>
      <c r="DB103" s="64">
        <v>38389</v>
      </c>
      <c r="DC103" s="58">
        <v>49.18</v>
      </c>
      <c r="DD103" s="58">
        <v>22.31</v>
      </c>
      <c r="DE103" s="58">
        <v>8.64</v>
      </c>
      <c r="DF103" s="58">
        <v>15.770000000000001</v>
      </c>
      <c r="DG103" s="58">
        <v>5.6448461798952829</v>
      </c>
      <c r="DH103" s="58">
        <v>50.82</v>
      </c>
      <c r="DI103" s="45" t="s">
        <v>35</v>
      </c>
      <c r="DJ103" s="59" t="str">
        <f t="shared" si="49"/>
        <v>No single majority group</v>
      </c>
      <c r="DK103" s="65">
        <v>38389</v>
      </c>
      <c r="DL103" s="58">
        <v>49.18</v>
      </c>
      <c r="DM103" s="58">
        <v>22.31</v>
      </c>
      <c r="DN103" s="58">
        <v>8.64</v>
      </c>
      <c r="DO103" s="58">
        <v>50.82</v>
      </c>
      <c r="DP103" s="66">
        <v>51.7</v>
      </c>
      <c r="DQ103" s="67">
        <v>55066.55</v>
      </c>
      <c r="DR103" s="53">
        <v>19.399999999999999</v>
      </c>
      <c r="DS103" s="58">
        <v>69.099999999999994</v>
      </c>
      <c r="DT103" s="53">
        <v>41.4</v>
      </c>
      <c r="DU103" s="55">
        <v>2.6</v>
      </c>
      <c r="DV103" s="50">
        <v>33.299999999999997</v>
      </c>
      <c r="DW103" s="53">
        <v>73.900000000000006</v>
      </c>
      <c r="DX103" s="53">
        <v>85.620599999999996</v>
      </c>
      <c r="DY103" s="53">
        <v>42.246299999999998</v>
      </c>
      <c r="DZ103" s="63"/>
    </row>
    <row r="104" spans="1:130" s="5" customFormat="1" ht="14.25" hidden="1" customHeight="1">
      <c r="A104" s="45">
        <v>1143</v>
      </c>
      <c r="B104" s="46" t="s">
        <v>110</v>
      </c>
      <c r="C104" s="47">
        <v>2002</v>
      </c>
      <c r="D104" s="47" t="s">
        <v>100</v>
      </c>
      <c r="E104" s="46" t="s">
        <v>101</v>
      </c>
      <c r="F104" s="46">
        <v>4</v>
      </c>
      <c r="G104" s="48">
        <v>82204</v>
      </c>
      <c r="H104" s="46" t="s">
        <v>249</v>
      </c>
      <c r="I104" s="46">
        <v>1</v>
      </c>
      <c r="J104" s="46">
        <v>3</v>
      </c>
      <c r="K104" s="49" t="s">
        <v>121</v>
      </c>
      <c r="L104" s="49" t="s">
        <v>40</v>
      </c>
      <c r="M104" s="49" t="s">
        <v>35</v>
      </c>
      <c r="N104" s="49" t="s">
        <v>512</v>
      </c>
      <c r="O104" s="49"/>
      <c r="P104" s="49" t="s">
        <v>201</v>
      </c>
      <c r="Q104" s="49" t="s">
        <v>35</v>
      </c>
      <c r="R104" s="49">
        <v>2</v>
      </c>
      <c r="S104" s="50">
        <f t="shared" si="42"/>
        <v>66.666666666666657</v>
      </c>
      <c r="T104" s="49">
        <v>1</v>
      </c>
      <c r="U104" s="50">
        <f t="shared" si="43"/>
        <v>33.333333333333329</v>
      </c>
      <c r="V104" s="49" t="s">
        <v>858</v>
      </c>
      <c r="W104" s="49">
        <v>1</v>
      </c>
      <c r="X104" s="50">
        <f t="shared" si="44"/>
        <v>33.333333333333329</v>
      </c>
      <c r="Y104" s="51" t="str">
        <f t="shared" si="45"/>
        <v>Yes</v>
      </c>
      <c r="Z104" s="45" t="s">
        <v>35</v>
      </c>
      <c r="AA104" s="49" t="s">
        <v>23</v>
      </c>
      <c r="AB104" s="49" t="s">
        <v>23</v>
      </c>
      <c r="AC104" s="46" t="s">
        <v>151</v>
      </c>
      <c r="AD104" s="46" t="s">
        <v>168</v>
      </c>
      <c r="AE104" s="46" t="s">
        <v>73</v>
      </c>
      <c r="AF104" s="46" t="s">
        <v>29</v>
      </c>
      <c r="AG104" s="107"/>
      <c r="AH104" s="70">
        <f>SUM(4577+2938+1056)</f>
        <v>8571</v>
      </c>
      <c r="AI104" s="70">
        <f>SUM(4577+2938+1056)</f>
        <v>8571</v>
      </c>
      <c r="AJ104" s="102">
        <v>53.4</v>
      </c>
      <c r="AK104" s="104">
        <v>106.8</v>
      </c>
      <c r="AL104" s="102">
        <v>53.4</v>
      </c>
      <c r="AM104" s="102"/>
      <c r="AN104" s="53">
        <f t="shared" si="46"/>
        <v>106.8</v>
      </c>
      <c r="AO104" s="53">
        <v>34.28</v>
      </c>
      <c r="AP104" s="102"/>
      <c r="AQ104" s="102"/>
      <c r="AR104" s="50"/>
      <c r="AS104" s="50"/>
      <c r="AT104" s="102"/>
      <c r="AU104" s="102"/>
      <c r="AV104" s="50"/>
      <c r="AW104" s="50"/>
      <c r="AX104" s="50"/>
      <c r="AY104" s="50"/>
      <c r="AZ104" s="102"/>
      <c r="BA104" s="102"/>
      <c r="BB104" s="102"/>
      <c r="BC104" s="102"/>
      <c r="BD104" s="50"/>
      <c r="BE104" s="50"/>
      <c r="BF104" s="50"/>
      <c r="BG104" s="50"/>
      <c r="BH104" s="102"/>
      <c r="BI104" s="102"/>
      <c r="BJ104" s="50"/>
      <c r="BK104" s="50"/>
      <c r="BL104" s="50"/>
      <c r="BM104" s="50"/>
      <c r="BN104" s="102"/>
      <c r="BO104" s="50"/>
      <c r="BP104" s="50"/>
      <c r="BQ104" s="50"/>
      <c r="BR104" s="102"/>
      <c r="BS104" s="54" t="s">
        <v>29</v>
      </c>
      <c r="BT104" s="45" t="str">
        <f>IF(J104=I104, "No", IF(AJ104/AO104&lt;2, "Yes", "No"))</f>
        <v>Yes</v>
      </c>
      <c r="BU104" s="45" t="str">
        <f>IF(J104=I104, "No", IF(AJ104/AO104&lt;1.5, "Yes", "No"))</f>
        <v>No</v>
      </c>
      <c r="BV104" s="45" t="str">
        <f>IF(J104=I104, "No", IF((ABS(AJ104-AO104))&lt;(5/I104), "Yes", "No"))</f>
        <v>No</v>
      </c>
      <c r="BW104" s="55">
        <v>87.726444032874198</v>
      </c>
      <c r="BX104" s="55"/>
      <c r="BY104" s="55">
        <v>87.471444032874189</v>
      </c>
      <c r="BZ104" s="55"/>
      <c r="CA104" s="45">
        <v>2000</v>
      </c>
      <c r="CB104" s="55">
        <f t="shared" si="47"/>
        <v>25.870811952912771</v>
      </c>
      <c r="CC104" s="46" t="s">
        <v>150</v>
      </c>
      <c r="CD104" s="46" t="s">
        <v>151</v>
      </c>
      <c r="CE104" s="46" t="s">
        <v>783</v>
      </c>
      <c r="CF104" s="46">
        <v>2</v>
      </c>
      <c r="CG104" s="46" t="str">
        <f t="shared" si="48"/>
        <v>Yes</v>
      </c>
      <c r="CH104" s="46" t="s">
        <v>29</v>
      </c>
      <c r="CI104" s="56">
        <v>300</v>
      </c>
      <c r="CJ104" s="46">
        <v>50</v>
      </c>
      <c r="CK104" s="46" t="s">
        <v>23</v>
      </c>
      <c r="CL104" s="49" t="s">
        <v>35</v>
      </c>
      <c r="CM104" s="50">
        <f>(2/3)*100</f>
        <v>66.666666666666657</v>
      </c>
      <c r="CN104" s="50"/>
      <c r="CO104" s="50"/>
      <c r="CP104" s="46" t="s">
        <v>23</v>
      </c>
      <c r="CQ104" s="46" t="s">
        <v>24</v>
      </c>
      <c r="CR104" s="46">
        <v>7</v>
      </c>
      <c r="CS104" s="46" t="s">
        <v>855</v>
      </c>
      <c r="CT104" s="46" t="s">
        <v>856</v>
      </c>
      <c r="CU104" s="46" t="s">
        <v>74</v>
      </c>
      <c r="CV104" s="46">
        <v>2</v>
      </c>
      <c r="CW104" s="46" t="s">
        <v>23</v>
      </c>
      <c r="CX104" s="49" t="s">
        <v>743</v>
      </c>
      <c r="CY104" s="49" t="s">
        <v>36</v>
      </c>
      <c r="CZ104" s="49">
        <v>0</v>
      </c>
      <c r="DA104" s="49">
        <v>1</v>
      </c>
      <c r="DB104" s="64">
        <v>33130</v>
      </c>
      <c r="DC104" s="58">
        <v>16.989999999999998</v>
      </c>
      <c r="DD104" s="58">
        <v>63.019999999999996</v>
      </c>
      <c r="DE104" s="58">
        <v>10.08</v>
      </c>
      <c r="DF104" s="58">
        <v>5.8999999999999995</v>
      </c>
      <c r="DG104" s="58">
        <v>5.3093872623000307</v>
      </c>
      <c r="DH104" s="58">
        <v>83.01</v>
      </c>
      <c r="DI104" s="45" t="s">
        <v>35</v>
      </c>
      <c r="DJ104" s="59" t="str">
        <f t="shared" si="49"/>
        <v>African American</v>
      </c>
      <c r="DK104" s="65">
        <v>33130</v>
      </c>
      <c r="DL104" s="58">
        <v>16.989999999999998</v>
      </c>
      <c r="DM104" s="58">
        <v>63.019999999999996</v>
      </c>
      <c r="DN104" s="58">
        <v>10.08</v>
      </c>
      <c r="DO104" s="58">
        <v>83.01</v>
      </c>
      <c r="DP104" s="66">
        <v>51.7</v>
      </c>
      <c r="DQ104" s="67">
        <v>55066.55</v>
      </c>
      <c r="DR104" s="53">
        <v>19.399999999999999</v>
      </c>
      <c r="DS104" s="58">
        <v>69.099999999999994</v>
      </c>
      <c r="DT104" s="53">
        <v>41.4</v>
      </c>
      <c r="DU104" s="55">
        <v>2.6</v>
      </c>
      <c r="DV104" s="50">
        <v>33.299999999999997</v>
      </c>
      <c r="DW104" s="53">
        <v>73.900000000000006</v>
      </c>
      <c r="DX104" s="53">
        <v>85.620599999999996</v>
      </c>
      <c r="DY104" s="53">
        <v>42.246299999999998</v>
      </c>
      <c r="DZ104" s="63"/>
    </row>
    <row r="105" spans="1:130" s="5" customFormat="1" ht="14.25" hidden="1" customHeight="1">
      <c r="A105" s="45">
        <v>1137</v>
      </c>
      <c r="B105" s="46" t="s">
        <v>110</v>
      </c>
      <c r="C105" s="47">
        <v>2002</v>
      </c>
      <c r="D105" s="47" t="s">
        <v>38</v>
      </c>
      <c r="E105" s="46" t="s">
        <v>22</v>
      </c>
      <c r="F105" s="46">
        <v>4</v>
      </c>
      <c r="G105" s="48">
        <v>115000</v>
      </c>
      <c r="H105" s="46" t="s">
        <v>249</v>
      </c>
      <c r="I105" s="46">
        <v>1</v>
      </c>
      <c r="J105" s="46">
        <v>2</v>
      </c>
      <c r="K105" s="49" t="s">
        <v>170</v>
      </c>
      <c r="L105" s="49" t="s">
        <v>30</v>
      </c>
      <c r="M105" s="49" t="s">
        <v>29</v>
      </c>
      <c r="N105" s="49" t="s">
        <v>513</v>
      </c>
      <c r="O105" s="49"/>
      <c r="P105" s="49" t="s">
        <v>31</v>
      </c>
      <c r="Q105" s="49" t="s">
        <v>29</v>
      </c>
      <c r="R105" s="49">
        <v>0</v>
      </c>
      <c r="S105" s="50">
        <f t="shared" si="42"/>
        <v>0</v>
      </c>
      <c r="T105" s="49">
        <v>1</v>
      </c>
      <c r="U105" s="50">
        <f t="shared" si="43"/>
        <v>50</v>
      </c>
      <c r="V105" s="49" t="s">
        <v>858</v>
      </c>
      <c r="W105" s="49">
        <v>0</v>
      </c>
      <c r="X105" s="50">
        <f t="shared" si="44"/>
        <v>0</v>
      </c>
      <c r="Y105" s="51" t="str">
        <f t="shared" si="45"/>
        <v>No</v>
      </c>
      <c r="Z105" s="45" t="s">
        <v>29</v>
      </c>
      <c r="AA105" s="49" t="s">
        <v>29</v>
      </c>
      <c r="AB105" s="49" t="s">
        <v>29</v>
      </c>
      <c r="AC105" s="46" t="s">
        <v>151</v>
      </c>
      <c r="AD105" s="46" t="s">
        <v>168</v>
      </c>
      <c r="AE105" s="46" t="s">
        <v>73</v>
      </c>
      <c r="AF105" s="46" t="s">
        <v>29</v>
      </c>
      <c r="AG105" s="107"/>
      <c r="AH105" s="70">
        <f>SUM(42892+24611)</f>
        <v>67503</v>
      </c>
      <c r="AI105" s="70">
        <f>SUM(42892+24611)</f>
        <v>67503</v>
      </c>
      <c r="AJ105" s="102">
        <v>63.54</v>
      </c>
      <c r="AK105" s="104">
        <v>127.08</v>
      </c>
      <c r="AL105" s="102">
        <v>63.54</v>
      </c>
      <c r="AM105" s="102"/>
      <c r="AN105" s="53">
        <f t="shared" si="46"/>
        <v>127.08</v>
      </c>
      <c r="AO105" s="53">
        <v>36.46</v>
      </c>
      <c r="AP105" s="102"/>
      <c r="AQ105" s="102"/>
      <c r="AR105" s="50"/>
      <c r="AS105" s="50"/>
      <c r="AT105" s="102"/>
      <c r="AU105" s="102"/>
      <c r="AV105" s="50"/>
      <c r="AW105" s="50"/>
      <c r="AX105" s="50"/>
      <c r="AY105" s="50"/>
      <c r="AZ105" s="102"/>
      <c r="BA105" s="102"/>
      <c r="BB105" s="102"/>
      <c r="BC105" s="102"/>
      <c r="BD105" s="50"/>
      <c r="BE105" s="50"/>
      <c r="BF105" s="50"/>
      <c r="BG105" s="50"/>
      <c r="BH105" s="102"/>
      <c r="BI105" s="102"/>
      <c r="BJ105" s="50"/>
      <c r="BK105" s="50"/>
      <c r="BL105" s="50"/>
      <c r="BM105" s="50"/>
      <c r="BN105" s="102"/>
      <c r="BO105" s="50"/>
      <c r="BP105" s="50"/>
      <c r="BQ105" s="50"/>
      <c r="BR105" s="102"/>
      <c r="BS105" s="54" t="s">
        <v>29</v>
      </c>
      <c r="BT105" s="45" t="str">
        <f>IF(J105=I105, "No", IF(AJ105/AO105&lt;2, "Yes", "No"))</f>
        <v>Yes</v>
      </c>
      <c r="BU105" s="45" t="str">
        <f>IF(J105=I105, "No", IF(AJ105/AO105&lt;1.5, "Yes", "No"))</f>
        <v>No</v>
      </c>
      <c r="BV105" s="45" t="str">
        <f>IF(J105=I105, "No", IF((ABS(AJ105-AO105))&lt;(5/I105), "Yes", "No"))</f>
        <v>No</v>
      </c>
      <c r="BW105" s="55">
        <v>87.726444032874198</v>
      </c>
      <c r="BX105" s="55">
        <v>87.726444032874198</v>
      </c>
      <c r="BY105" s="55">
        <v>87.471444032874174</v>
      </c>
      <c r="BZ105" s="55">
        <f>BX105-(0.0051*100/2)</f>
        <v>87.471444032874203</v>
      </c>
      <c r="CA105" s="45">
        <v>2000</v>
      </c>
      <c r="CB105" s="55">
        <f t="shared" si="47"/>
        <v>27.953867815139972</v>
      </c>
      <c r="CC105" s="46" t="s">
        <v>150</v>
      </c>
      <c r="CD105" s="46" t="s">
        <v>151</v>
      </c>
      <c r="CE105" s="46" t="s">
        <v>783</v>
      </c>
      <c r="CF105" s="46">
        <v>2</v>
      </c>
      <c r="CG105" s="46" t="str">
        <f t="shared" si="48"/>
        <v>Yes</v>
      </c>
      <c r="CH105" s="46" t="s">
        <v>35</v>
      </c>
      <c r="CI105" s="56">
        <v>300</v>
      </c>
      <c r="CJ105" s="46">
        <v>50</v>
      </c>
      <c r="CK105" s="46" t="s">
        <v>23</v>
      </c>
      <c r="CL105" s="49" t="s">
        <v>29</v>
      </c>
      <c r="CM105" s="50">
        <v>0</v>
      </c>
      <c r="CN105" s="50"/>
      <c r="CO105" s="50"/>
      <c r="CP105" s="46" t="s">
        <v>23</v>
      </c>
      <c r="CQ105" s="46" t="s">
        <v>23</v>
      </c>
      <c r="CR105" s="46">
        <v>7</v>
      </c>
      <c r="CS105" s="46" t="s">
        <v>855</v>
      </c>
      <c r="CT105" s="71" t="s">
        <v>53</v>
      </c>
      <c r="CU105" s="46" t="s">
        <v>74</v>
      </c>
      <c r="CV105" s="46">
        <v>2</v>
      </c>
      <c r="CW105" s="46" t="s">
        <v>23</v>
      </c>
      <c r="CX105" s="49" t="s">
        <v>743</v>
      </c>
      <c r="CY105" s="49" t="s">
        <v>36</v>
      </c>
      <c r="CZ105" s="49">
        <v>0</v>
      </c>
      <c r="DA105" s="49">
        <v>1</v>
      </c>
      <c r="DB105" s="64">
        <v>241480</v>
      </c>
      <c r="DC105" s="58">
        <v>32.800000000000004</v>
      </c>
      <c r="DD105" s="58">
        <v>40.949999999999996</v>
      </c>
      <c r="DE105" s="58">
        <v>9.59</v>
      </c>
      <c r="DF105" s="58">
        <v>12.3</v>
      </c>
      <c r="DG105" s="58">
        <v>4.3599999999999977</v>
      </c>
      <c r="DH105" s="58">
        <v>67.199999999999989</v>
      </c>
      <c r="DI105" s="45" t="s">
        <v>35</v>
      </c>
      <c r="DJ105" s="59" t="str">
        <f t="shared" si="49"/>
        <v>No single majority group</v>
      </c>
      <c r="DK105" s="65">
        <v>241480</v>
      </c>
      <c r="DL105" s="58">
        <v>32.800000000000004</v>
      </c>
      <c r="DM105" s="58">
        <v>40.949999999999996</v>
      </c>
      <c r="DN105" s="58">
        <v>9.59</v>
      </c>
      <c r="DO105" s="58">
        <v>67.199999999999989</v>
      </c>
      <c r="DP105" s="66">
        <v>51.7</v>
      </c>
      <c r="DQ105" s="67">
        <v>55066.55</v>
      </c>
      <c r="DR105" s="53">
        <v>19.399999999999999</v>
      </c>
      <c r="DS105" s="58">
        <v>69.099999999999994</v>
      </c>
      <c r="DT105" s="53">
        <v>41.4</v>
      </c>
      <c r="DU105" s="55">
        <v>2.6</v>
      </c>
      <c r="DV105" s="50">
        <v>33.299999999999997</v>
      </c>
      <c r="DW105" s="53">
        <v>73.900000000000006</v>
      </c>
      <c r="DX105" s="53">
        <v>85.620599999999996</v>
      </c>
      <c r="DY105" s="53">
        <v>42.246299999999998</v>
      </c>
      <c r="DZ105" s="63"/>
    </row>
    <row r="106" spans="1:130" s="5" customFormat="1" ht="14.25" hidden="1" customHeight="1">
      <c r="A106" s="45">
        <v>1140</v>
      </c>
      <c r="B106" s="46" t="s">
        <v>110</v>
      </c>
      <c r="C106" s="47">
        <v>2002</v>
      </c>
      <c r="D106" s="47" t="s">
        <v>116</v>
      </c>
      <c r="E106" s="71" t="s">
        <v>92</v>
      </c>
      <c r="F106" s="46">
        <v>4</v>
      </c>
      <c r="G106" s="48">
        <v>10000</v>
      </c>
      <c r="H106" s="46" t="s">
        <v>332</v>
      </c>
      <c r="I106" s="46">
        <v>1</v>
      </c>
      <c r="J106" s="46">
        <v>2</v>
      </c>
      <c r="K106" s="49" t="s">
        <v>147</v>
      </c>
      <c r="L106" s="49" t="s">
        <v>30</v>
      </c>
      <c r="M106" s="49" t="s">
        <v>29</v>
      </c>
      <c r="N106" s="49"/>
      <c r="O106" s="49"/>
      <c r="P106" s="49" t="s">
        <v>34</v>
      </c>
      <c r="Q106" s="49" t="s">
        <v>35</v>
      </c>
      <c r="R106" s="49">
        <v>0</v>
      </c>
      <c r="S106" s="50">
        <f t="shared" si="42"/>
        <v>0</v>
      </c>
      <c r="T106" s="49">
        <v>2</v>
      </c>
      <c r="U106" s="50">
        <f t="shared" si="43"/>
        <v>100</v>
      </c>
      <c r="V106" s="49" t="s">
        <v>172</v>
      </c>
      <c r="W106" s="49">
        <v>0</v>
      </c>
      <c r="X106" s="50">
        <f t="shared" si="44"/>
        <v>0</v>
      </c>
      <c r="Y106" s="51" t="str">
        <f t="shared" si="45"/>
        <v>No</v>
      </c>
      <c r="Z106" s="45"/>
      <c r="AA106" s="45"/>
      <c r="AB106" s="45"/>
      <c r="AC106" s="46" t="s">
        <v>151</v>
      </c>
      <c r="AD106" s="46" t="s">
        <v>168</v>
      </c>
      <c r="AE106" s="46" t="s">
        <v>73</v>
      </c>
      <c r="AF106" s="46" t="s">
        <v>29</v>
      </c>
      <c r="AG106" s="103"/>
      <c r="AH106" s="52">
        <v>8024</v>
      </c>
      <c r="AI106" s="52">
        <v>8024</v>
      </c>
      <c r="AJ106" s="102">
        <v>55.62</v>
      </c>
      <c r="AK106" s="104">
        <v>111.24</v>
      </c>
      <c r="AL106" s="102">
        <v>55.62</v>
      </c>
      <c r="AM106" s="102"/>
      <c r="AN106" s="53">
        <f t="shared" si="46"/>
        <v>111.24</v>
      </c>
      <c r="AO106" s="53"/>
      <c r="AP106" s="102"/>
      <c r="AQ106" s="102"/>
      <c r="AR106" s="50"/>
      <c r="AS106" s="50"/>
      <c r="AT106" s="102"/>
      <c r="AU106" s="102"/>
      <c r="AV106" s="50"/>
      <c r="AW106" s="50"/>
      <c r="AX106" s="50"/>
      <c r="AY106" s="50"/>
      <c r="AZ106" s="102"/>
      <c r="BA106" s="102"/>
      <c r="BB106" s="102"/>
      <c r="BC106" s="102"/>
      <c r="BD106" s="50"/>
      <c r="BE106" s="50"/>
      <c r="BF106" s="50"/>
      <c r="BG106" s="50"/>
      <c r="BH106" s="102"/>
      <c r="BI106" s="102"/>
      <c r="BJ106" s="50"/>
      <c r="BK106" s="50"/>
      <c r="BL106" s="50"/>
      <c r="BM106" s="50"/>
      <c r="BN106" s="102"/>
      <c r="BO106" s="50"/>
      <c r="BP106" s="50"/>
      <c r="BQ106" s="50"/>
      <c r="BR106" s="102"/>
      <c r="BS106" s="54"/>
      <c r="BT106" s="45"/>
      <c r="BU106" s="45"/>
      <c r="BV106" s="45"/>
      <c r="BW106" s="55">
        <v>87.726444032874198</v>
      </c>
      <c r="BX106" s="55"/>
      <c r="BY106" s="55">
        <v>87.471444032874189</v>
      </c>
      <c r="BZ106" s="55"/>
      <c r="CA106" s="45">
        <v>2000</v>
      </c>
      <c r="CB106" s="55">
        <f t="shared" si="47"/>
        <v>23.241129616220128</v>
      </c>
      <c r="CC106" s="46" t="s">
        <v>150</v>
      </c>
      <c r="CD106" s="46" t="s">
        <v>151</v>
      </c>
      <c r="CE106" s="46" t="s">
        <v>783</v>
      </c>
      <c r="CF106" s="46">
        <v>2</v>
      </c>
      <c r="CG106" s="46" t="str">
        <f t="shared" si="48"/>
        <v>Yes</v>
      </c>
      <c r="CH106" s="46" t="s">
        <v>29</v>
      </c>
      <c r="CI106" s="56">
        <v>300</v>
      </c>
      <c r="CJ106" s="46">
        <v>50</v>
      </c>
      <c r="CK106" s="46" t="s">
        <v>23</v>
      </c>
      <c r="CL106" s="49" t="s">
        <v>29</v>
      </c>
      <c r="CM106" s="50">
        <v>0</v>
      </c>
      <c r="CN106" s="50"/>
      <c r="CO106" s="50"/>
      <c r="CP106" s="46" t="s">
        <v>23</v>
      </c>
      <c r="CQ106" s="46" t="s">
        <v>24</v>
      </c>
      <c r="CR106" s="46">
        <v>7</v>
      </c>
      <c r="CS106" s="46" t="s">
        <v>855</v>
      </c>
      <c r="CT106" s="46" t="s">
        <v>856</v>
      </c>
      <c r="CU106" s="46" t="s">
        <v>74</v>
      </c>
      <c r="CV106" s="46">
        <v>2</v>
      </c>
      <c r="CW106" s="46" t="s">
        <v>23</v>
      </c>
      <c r="CX106" s="49" t="s">
        <v>743</v>
      </c>
      <c r="CY106" s="49" t="s">
        <v>36</v>
      </c>
      <c r="CZ106" s="49">
        <v>0</v>
      </c>
      <c r="DA106" s="49">
        <v>1</v>
      </c>
      <c r="DB106" s="64">
        <v>34525</v>
      </c>
      <c r="DC106" s="58">
        <v>32.300000000000004</v>
      </c>
      <c r="DD106" s="58">
        <v>26.150000000000002</v>
      </c>
      <c r="DE106" s="58">
        <v>8.66</v>
      </c>
      <c r="DF106" s="58">
        <v>28.749999999999996</v>
      </c>
      <c r="DG106" s="58">
        <v>5.5496017378711082</v>
      </c>
      <c r="DH106" s="58">
        <v>67.7</v>
      </c>
      <c r="DI106" s="45" t="s">
        <v>35</v>
      </c>
      <c r="DJ106" s="59" t="str">
        <f t="shared" si="49"/>
        <v>No single majority group</v>
      </c>
      <c r="DK106" s="65">
        <v>34525</v>
      </c>
      <c r="DL106" s="58">
        <v>32.300000000000004</v>
      </c>
      <c r="DM106" s="58">
        <v>26.150000000000002</v>
      </c>
      <c r="DN106" s="58">
        <v>8.66</v>
      </c>
      <c r="DO106" s="58">
        <v>67.7</v>
      </c>
      <c r="DP106" s="66">
        <v>51.7</v>
      </c>
      <c r="DQ106" s="67">
        <v>55066.55</v>
      </c>
      <c r="DR106" s="53">
        <v>19.399999999999999</v>
      </c>
      <c r="DS106" s="58">
        <v>69.099999999999994</v>
      </c>
      <c r="DT106" s="53">
        <v>41.4</v>
      </c>
      <c r="DU106" s="55">
        <v>2.6</v>
      </c>
      <c r="DV106" s="50">
        <v>33.299999999999997</v>
      </c>
      <c r="DW106" s="53">
        <v>73.900000000000006</v>
      </c>
      <c r="DX106" s="53">
        <v>85.620599999999996</v>
      </c>
      <c r="DY106" s="53">
        <v>42.246299999999998</v>
      </c>
      <c r="DZ106" s="63"/>
    </row>
    <row r="107" spans="1:130" s="5" customFormat="1" ht="14.25" hidden="1" customHeight="1">
      <c r="A107" s="45">
        <v>1142</v>
      </c>
      <c r="B107" s="46" t="s">
        <v>110</v>
      </c>
      <c r="C107" s="47">
        <v>2002</v>
      </c>
      <c r="D107" s="47" t="s">
        <v>119</v>
      </c>
      <c r="E107" s="71" t="s">
        <v>80</v>
      </c>
      <c r="F107" s="46">
        <v>4</v>
      </c>
      <c r="G107" s="48">
        <v>10000</v>
      </c>
      <c r="H107" s="46" t="s">
        <v>332</v>
      </c>
      <c r="I107" s="46">
        <v>1</v>
      </c>
      <c r="J107" s="46">
        <v>2</v>
      </c>
      <c r="K107" s="49" t="s">
        <v>148</v>
      </c>
      <c r="L107" s="49" t="s">
        <v>30</v>
      </c>
      <c r="M107" s="49" t="s">
        <v>29</v>
      </c>
      <c r="N107" s="49"/>
      <c r="O107" s="49"/>
      <c r="P107" s="49" t="s">
        <v>34</v>
      </c>
      <c r="Q107" s="49" t="s">
        <v>35</v>
      </c>
      <c r="R107" s="49">
        <v>1</v>
      </c>
      <c r="S107" s="50">
        <f t="shared" si="42"/>
        <v>50</v>
      </c>
      <c r="T107" s="49">
        <v>1</v>
      </c>
      <c r="U107" s="50">
        <f t="shared" si="43"/>
        <v>50</v>
      </c>
      <c r="V107" s="49" t="s">
        <v>173</v>
      </c>
      <c r="W107" s="49">
        <v>0</v>
      </c>
      <c r="X107" s="50">
        <f t="shared" si="44"/>
        <v>0</v>
      </c>
      <c r="Y107" s="51" t="str">
        <f t="shared" si="45"/>
        <v>No</v>
      </c>
      <c r="Z107" s="45"/>
      <c r="AA107" s="45"/>
      <c r="AB107" s="45"/>
      <c r="AC107" s="46" t="s">
        <v>151</v>
      </c>
      <c r="AD107" s="46" t="s">
        <v>168</v>
      </c>
      <c r="AE107" s="46" t="s">
        <v>73</v>
      </c>
      <c r="AF107" s="46" t="s">
        <v>29</v>
      </c>
      <c r="AG107" s="103"/>
      <c r="AH107" s="52">
        <v>13073</v>
      </c>
      <c r="AI107" s="52">
        <v>13073</v>
      </c>
      <c r="AJ107" s="102">
        <v>54.2</v>
      </c>
      <c r="AK107" s="104">
        <v>108.4</v>
      </c>
      <c r="AL107" s="102">
        <v>54.2</v>
      </c>
      <c r="AM107" s="102"/>
      <c r="AN107" s="53">
        <f t="shared" si="46"/>
        <v>108.4</v>
      </c>
      <c r="AO107" s="53"/>
      <c r="AP107" s="102"/>
      <c r="AQ107" s="102"/>
      <c r="AR107" s="50"/>
      <c r="AS107" s="50"/>
      <c r="AT107" s="102"/>
      <c r="AU107" s="102"/>
      <c r="AV107" s="50"/>
      <c r="AW107" s="50"/>
      <c r="AX107" s="50"/>
      <c r="AY107" s="50"/>
      <c r="AZ107" s="102"/>
      <c r="BA107" s="102"/>
      <c r="BB107" s="102"/>
      <c r="BC107" s="102"/>
      <c r="BD107" s="50"/>
      <c r="BE107" s="50"/>
      <c r="BF107" s="50"/>
      <c r="BG107" s="50"/>
      <c r="BH107" s="102"/>
      <c r="BI107" s="102"/>
      <c r="BJ107" s="50"/>
      <c r="BK107" s="50"/>
      <c r="BL107" s="50"/>
      <c r="BM107" s="50"/>
      <c r="BN107" s="102"/>
      <c r="BO107" s="50"/>
      <c r="BP107" s="50"/>
      <c r="BQ107" s="50"/>
      <c r="BR107" s="102"/>
      <c r="BS107" s="54"/>
      <c r="BT107" s="45"/>
      <c r="BU107" s="45"/>
      <c r="BV107" s="45"/>
      <c r="BW107" s="55">
        <v>87.726444032874198</v>
      </c>
      <c r="BX107" s="55"/>
      <c r="BY107" s="55">
        <v>87.471444032874189</v>
      </c>
      <c r="BZ107" s="55"/>
      <c r="CA107" s="45">
        <v>2000</v>
      </c>
      <c r="CB107" s="55">
        <f t="shared" si="47"/>
        <v>34.054025892833884</v>
      </c>
      <c r="CC107" s="46" t="s">
        <v>150</v>
      </c>
      <c r="CD107" s="46" t="s">
        <v>151</v>
      </c>
      <c r="CE107" s="46" t="s">
        <v>783</v>
      </c>
      <c r="CF107" s="46">
        <v>2</v>
      </c>
      <c r="CG107" s="46" t="str">
        <f t="shared" si="48"/>
        <v>Yes</v>
      </c>
      <c r="CH107" s="46" t="s">
        <v>29</v>
      </c>
      <c r="CI107" s="56">
        <v>300</v>
      </c>
      <c r="CJ107" s="46">
        <v>50</v>
      </c>
      <c r="CK107" s="46" t="s">
        <v>23</v>
      </c>
      <c r="CL107" s="49" t="s">
        <v>29</v>
      </c>
      <c r="CM107" s="50">
        <v>0</v>
      </c>
      <c r="CN107" s="50"/>
      <c r="CO107" s="50"/>
      <c r="CP107" s="46" t="s">
        <v>23</v>
      </c>
      <c r="CQ107" s="46" t="s">
        <v>24</v>
      </c>
      <c r="CR107" s="46">
        <v>7</v>
      </c>
      <c r="CS107" s="46" t="s">
        <v>855</v>
      </c>
      <c r="CT107" s="46" t="s">
        <v>856</v>
      </c>
      <c r="CU107" s="46" t="s">
        <v>74</v>
      </c>
      <c r="CV107" s="46">
        <v>2</v>
      </c>
      <c r="CW107" s="46" t="s">
        <v>23</v>
      </c>
      <c r="CX107" s="49" t="s">
        <v>743</v>
      </c>
      <c r="CY107" s="49" t="s">
        <v>36</v>
      </c>
      <c r="CZ107" s="49">
        <v>0</v>
      </c>
      <c r="DA107" s="49">
        <v>1</v>
      </c>
      <c r="DB107" s="64">
        <v>38389</v>
      </c>
      <c r="DC107" s="58">
        <v>49.18</v>
      </c>
      <c r="DD107" s="58">
        <v>22.31</v>
      </c>
      <c r="DE107" s="58">
        <v>8.64</v>
      </c>
      <c r="DF107" s="58">
        <v>15.770000000000001</v>
      </c>
      <c r="DG107" s="58">
        <v>5.6448461798952829</v>
      </c>
      <c r="DH107" s="58">
        <v>50.82</v>
      </c>
      <c r="DI107" s="45" t="s">
        <v>35</v>
      </c>
      <c r="DJ107" s="59" t="str">
        <f t="shared" si="49"/>
        <v>No single majority group</v>
      </c>
      <c r="DK107" s="65">
        <v>38389</v>
      </c>
      <c r="DL107" s="58">
        <v>49.18</v>
      </c>
      <c r="DM107" s="58">
        <v>22.31</v>
      </c>
      <c r="DN107" s="58">
        <v>8.64</v>
      </c>
      <c r="DO107" s="58">
        <v>50.82</v>
      </c>
      <c r="DP107" s="66">
        <v>51.7</v>
      </c>
      <c r="DQ107" s="67">
        <v>55066.55</v>
      </c>
      <c r="DR107" s="53">
        <v>19.399999999999999</v>
      </c>
      <c r="DS107" s="58">
        <v>69.099999999999994</v>
      </c>
      <c r="DT107" s="53">
        <v>41.4</v>
      </c>
      <c r="DU107" s="55">
        <v>2.6</v>
      </c>
      <c r="DV107" s="50">
        <v>33.299999999999997</v>
      </c>
      <c r="DW107" s="53">
        <v>73.900000000000006</v>
      </c>
      <c r="DX107" s="53">
        <v>85.620599999999996</v>
      </c>
      <c r="DY107" s="53">
        <v>42.246299999999998</v>
      </c>
      <c r="DZ107" s="63"/>
    </row>
    <row r="108" spans="1:130" s="5" customFormat="1" ht="14.25" hidden="1" customHeight="1">
      <c r="A108" s="45">
        <v>1144</v>
      </c>
      <c r="B108" s="46" t="s">
        <v>110</v>
      </c>
      <c r="C108" s="47">
        <v>2002</v>
      </c>
      <c r="D108" s="47" t="s">
        <v>122</v>
      </c>
      <c r="E108" s="46" t="s">
        <v>101</v>
      </c>
      <c r="F108" s="46">
        <v>4</v>
      </c>
      <c r="G108" s="48">
        <v>10000</v>
      </c>
      <c r="H108" s="46" t="s">
        <v>332</v>
      </c>
      <c r="I108" s="46">
        <v>1</v>
      </c>
      <c r="J108" s="46">
        <v>1</v>
      </c>
      <c r="K108" s="49" t="s">
        <v>175</v>
      </c>
      <c r="L108" s="49" t="s">
        <v>30</v>
      </c>
      <c r="M108" s="49" t="s">
        <v>29</v>
      </c>
      <c r="N108" s="49"/>
      <c r="O108" s="49"/>
      <c r="P108" s="49" t="s">
        <v>174</v>
      </c>
      <c r="Q108" s="49" t="s">
        <v>29</v>
      </c>
      <c r="R108" s="49">
        <v>0</v>
      </c>
      <c r="S108" s="50">
        <f t="shared" si="42"/>
        <v>0</v>
      </c>
      <c r="T108" s="49">
        <v>0</v>
      </c>
      <c r="U108" s="50">
        <f t="shared" si="43"/>
        <v>0</v>
      </c>
      <c r="V108" s="49"/>
      <c r="W108" s="49">
        <v>0</v>
      </c>
      <c r="X108" s="50">
        <f t="shared" si="44"/>
        <v>0</v>
      </c>
      <c r="Y108" s="51" t="str">
        <f t="shared" si="45"/>
        <v>No</v>
      </c>
      <c r="Z108" s="45"/>
      <c r="AA108" s="45"/>
      <c r="AB108" s="45"/>
      <c r="AC108" s="46" t="s">
        <v>151</v>
      </c>
      <c r="AD108" s="46" t="s">
        <v>168</v>
      </c>
      <c r="AE108" s="46" t="s">
        <v>73</v>
      </c>
      <c r="AF108" s="46" t="s">
        <v>29</v>
      </c>
      <c r="AG108" s="103"/>
      <c r="AH108" s="52">
        <v>6840</v>
      </c>
      <c r="AI108" s="52">
        <v>6840</v>
      </c>
      <c r="AJ108" s="102">
        <v>100</v>
      </c>
      <c r="AK108" s="104">
        <v>200</v>
      </c>
      <c r="AL108" s="102">
        <v>100</v>
      </c>
      <c r="AM108" s="102"/>
      <c r="AN108" s="53">
        <f t="shared" si="46"/>
        <v>200</v>
      </c>
      <c r="AO108" s="53"/>
      <c r="AP108" s="102"/>
      <c r="AQ108" s="102"/>
      <c r="AR108" s="50"/>
      <c r="AS108" s="50"/>
      <c r="AT108" s="102"/>
      <c r="AU108" s="102"/>
      <c r="AV108" s="50"/>
      <c r="AW108" s="50"/>
      <c r="AX108" s="50"/>
      <c r="AY108" s="50"/>
      <c r="AZ108" s="102"/>
      <c r="BA108" s="102"/>
      <c r="BB108" s="102"/>
      <c r="BC108" s="102"/>
      <c r="BD108" s="50"/>
      <c r="BE108" s="50"/>
      <c r="BF108" s="50"/>
      <c r="BG108" s="50"/>
      <c r="BH108" s="102"/>
      <c r="BI108" s="102"/>
      <c r="BJ108" s="50"/>
      <c r="BK108" s="50"/>
      <c r="BL108" s="50"/>
      <c r="BM108" s="50"/>
      <c r="BN108" s="102"/>
      <c r="BO108" s="50"/>
      <c r="BP108" s="50"/>
      <c r="BQ108" s="50"/>
      <c r="BR108" s="102"/>
      <c r="BS108" s="54"/>
      <c r="BT108" s="45"/>
      <c r="BU108" s="45"/>
      <c r="BV108" s="45"/>
      <c r="BW108" s="55">
        <v>87.726444032874198</v>
      </c>
      <c r="BX108" s="55"/>
      <c r="BY108" s="55">
        <v>87.471444032874189</v>
      </c>
      <c r="BZ108" s="55"/>
      <c r="CA108" s="45">
        <v>2000</v>
      </c>
      <c r="CB108" s="55">
        <f t="shared" si="47"/>
        <v>20.645940235436161</v>
      </c>
      <c r="CC108" s="46" t="s">
        <v>150</v>
      </c>
      <c r="CD108" s="46" t="s">
        <v>151</v>
      </c>
      <c r="CE108" s="46" t="s">
        <v>783</v>
      </c>
      <c r="CF108" s="46">
        <v>2</v>
      </c>
      <c r="CG108" s="46" t="str">
        <f t="shared" si="48"/>
        <v>Yes</v>
      </c>
      <c r="CH108" s="46" t="s">
        <v>29</v>
      </c>
      <c r="CI108" s="56">
        <v>300</v>
      </c>
      <c r="CJ108" s="46">
        <v>50</v>
      </c>
      <c r="CK108" s="46" t="s">
        <v>23</v>
      </c>
      <c r="CL108" s="49" t="s">
        <v>29</v>
      </c>
      <c r="CM108" s="50">
        <v>0</v>
      </c>
      <c r="CN108" s="50"/>
      <c r="CO108" s="50"/>
      <c r="CP108" s="46" t="s">
        <v>23</v>
      </c>
      <c r="CQ108" s="46" t="s">
        <v>24</v>
      </c>
      <c r="CR108" s="46">
        <v>7</v>
      </c>
      <c r="CS108" s="46" t="s">
        <v>855</v>
      </c>
      <c r="CT108" s="46" t="s">
        <v>856</v>
      </c>
      <c r="CU108" s="46" t="s">
        <v>74</v>
      </c>
      <c r="CV108" s="46">
        <v>2</v>
      </c>
      <c r="CW108" s="46" t="s">
        <v>23</v>
      </c>
      <c r="CX108" s="49" t="s">
        <v>743</v>
      </c>
      <c r="CY108" s="49" t="s">
        <v>36</v>
      </c>
      <c r="CZ108" s="49">
        <v>0</v>
      </c>
      <c r="DA108" s="49">
        <v>1</v>
      </c>
      <c r="DB108" s="64">
        <v>33130</v>
      </c>
      <c r="DC108" s="58">
        <v>16.989999999999998</v>
      </c>
      <c r="DD108" s="58">
        <v>63.019999999999996</v>
      </c>
      <c r="DE108" s="58">
        <v>10.08</v>
      </c>
      <c r="DF108" s="58">
        <v>5.8999999999999995</v>
      </c>
      <c r="DG108" s="58">
        <v>5.3093872623000307</v>
      </c>
      <c r="DH108" s="58">
        <v>83.01</v>
      </c>
      <c r="DI108" s="45" t="s">
        <v>35</v>
      </c>
      <c r="DJ108" s="59" t="str">
        <f t="shared" si="49"/>
        <v>African American</v>
      </c>
      <c r="DK108" s="65">
        <v>33130</v>
      </c>
      <c r="DL108" s="58">
        <v>16.989999999999998</v>
      </c>
      <c r="DM108" s="58">
        <v>63.019999999999996</v>
      </c>
      <c r="DN108" s="58">
        <v>10.08</v>
      </c>
      <c r="DO108" s="58">
        <v>83.01</v>
      </c>
      <c r="DP108" s="66">
        <v>51.7</v>
      </c>
      <c r="DQ108" s="67">
        <v>55066.55</v>
      </c>
      <c r="DR108" s="53">
        <v>19.399999999999999</v>
      </c>
      <c r="DS108" s="58">
        <v>69.099999999999994</v>
      </c>
      <c r="DT108" s="53">
        <v>41.4</v>
      </c>
      <c r="DU108" s="55">
        <v>2.6</v>
      </c>
      <c r="DV108" s="50">
        <v>33.299999999999997</v>
      </c>
      <c r="DW108" s="53">
        <v>73.900000000000006</v>
      </c>
      <c r="DX108" s="53">
        <v>85.620599999999996</v>
      </c>
      <c r="DY108" s="53">
        <v>42.246299999999998</v>
      </c>
      <c r="DZ108" s="63"/>
    </row>
    <row r="109" spans="1:130" s="5" customFormat="1" ht="14.25" hidden="1" customHeight="1">
      <c r="A109" s="45">
        <v>1128</v>
      </c>
      <c r="B109" s="46" t="s">
        <v>110</v>
      </c>
      <c r="C109" s="47">
        <v>2004</v>
      </c>
      <c r="D109" s="47" t="s">
        <v>124</v>
      </c>
      <c r="E109" s="46" t="s">
        <v>22</v>
      </c>
      <c r="F109" s="46">
        <v>4</v>
      </c>
      <c r="G109" s="48">
        <v>215000</v>
      </c>
      <c r="H109" s="46" t="s">
        <v>249</v>
      </c>
      <c r="I109" s="46">
        <v>1</v>
      </c>
      <c r="J109" s="46">
        <v>1</v>
      </c>
      <c r="K109" s="49" t="s">
        <v>153</v>
      </c>
      <c r="L109" s="49" t="s">
        <v>30</v>
      </c>
      <c r="M109" s="49" t="s">
        <v>29</v>
      </c>
      <c r="N109" s="49" t="s">
        <v>513</v>
      </c>
      <c r="O109" s="49"/>
      <c r="P109" s="49" t="s">
        <v>31</v>
      </c>
      <c r="Q109" s="49" t="s">
        <v>29</v>
      </c>
      <c r="R109" s="49">
        <v>0</v>
      </c>
      <c r="S109" s="50">
        <f t="shared" si="42"/>
        <v>0</v>
      </c>
      <c r="T109" s="49">
        <v>0</v>
      </c>
      <c r="U109" s="50">
        <f t="shared" si="43"/>
        <v>0</v>
      </c>
      <c r="V109" s="45"/>
      <c r="W109" s="49">
        <v>0</v>
      </c>
      <c r="X109" s="50">
        <f t="shared" si="44"/>
        <v>0</v>
      </c>
      <c r="Y109" s="51" t="str">
        <f t="shared" si="45"/>
        <v>No</v>
      </c>
      <c r="Z109" s="49" t="s">
        <v>29</v>
      </c>
      <c r="AA109" s="49" t="s">
        <v>29</v>
      </c>
      <c r="AB109" s="49" t="s">
        <v>29</v>
      </c>
      <c r="AC109" s="46" t="s">
        <v>151</v>
      </c>
      <c r="AD109" s="46" t="s">
        <v>152</v>
      </c>
      <c r="AE109" s="46" t="s">
        <v>89</v>
      </c>
      <c r="AF109" s="46" t="s">
        <v>29</v>
      </c>
      <c r="AG109" s="103"/>
      <c r="AH109" s="52">
        <v>63481</v>
      </c>
      <c r="AI109" s="52">
        <v>63481</v>
      </c>
      <c r="AJ109" s="102">
        <v>99.08</v>
      </c>
      <c r="AK109" s="104">
        <v>198.16</v>
      </c>
      <c r="AL109" s="102">
        <v>99.08</v>
      </c>
      <c r="AM109" s="102"/>
      <c r="AN109" s="53">
        <f t="shared" si="46"/>
        <v>198.16</v>
      </c>
      <c r="AO109" s="53" t="s">
        <v>23</v>
      </c>
      <c r="AP109" s="102"/>
      <c r="AQ109" s="102"/>
      <c r="AR109" s="50"/>
      <c r="AS109" s="50"/>
      <c r="AT109" s="102"/>
      <c r="AU109" s="102"/>
      <c r="AV109" s="50"/>
      <c r="AW109" s="50"/>
      <c r="AX109" s="50"/>
      <c r="AY109" s="50"/>
      <c r="AZ109" s="102"/>
      <c r="BA109" s="102"/>
      <c r="BB109" s="102"/>
      <c r="BC109" s="102"/>
      <c r="BD109" s="50"/>
      <c r="BE109" s="50"/>
      <c r="BF109" s="50"/>
      <c r="BG109" s="50"/>
      <c r="BH109" s="102"/>
      <c r="BI109" s="102"/>
      <c r="BJ109" s="50"/>
      <c r="BK109" s="50"/>
      <c r="BL109" s="50"/>
      <c r="BM109" s="50"/>
      <c r="BN109" s="102"/>
      <c r="BO109" s="50"/>
      <c r="BP109" s="50"/>
      <c r="BQ109" s="50"/>
      <c r="BR109" s="102"/>
      <c r="BS109" s="54" t="s">
        <v>23</v>
      </c>
      <c r="BT109" s="45" t="str">
        <f t="shared" ref="BT109:BT114" si="50">IF(J109=I109, "No", IF(AJ109/AO109&lt;2, "Yes", "No"))</f>
        <v>No</v>
      </c>
      <c r="BU109" s="45" t="str">
        <f t="shared" ref="BU109:BU114" si="51">IF(J109=I109, "No", IF(AJ109/AO109&lt;1.5, "Yes", "No"))</f>
        <v>No</v>
      </c>
      <c r="BV109" s="45" t="str">
        <f t="shared" ref="BV109:BV114" si="52">IF(J109=I109, "No", IF((ABS(AJ109-AO109))&lt;(5/I109), "Yes", "No"))</f>
        <v>No</v>
      </c>
      <c r="BW109" s="55">
        <v>89.089574850866398</v>
      </c>
      <c r="BX109" s="55">
        <v>89.089574850866398</v>
      </c>
      <c r="BY109" s="55">
        <v>90.319574850866388</v>
      </c>
      <c r="BZ109" s="55">
        <f>BX109-(-0.0246*100/2)</f>
        <v>90.319574850866402</v>
      </c>
      <c r="CA109" s="45">
        <v>2004</v>
      </c>
      <c r="CB109" s="55">
        <f t="shared" si="47"/>
        <v>26.288305449726685</v>
      </c>
      <c r="CC109" s="46" t="s">
        <v>150</v>
      </c>
      <c r="CD109" s="46" t="s">
        <v>151</v>
      </c>
      <c r="CE109" s="46" t="s">
        <v>783</v>
      </c>
      <c r="CF109" s="46">
        <v>2</v>
      </c>
      <c r="CG109" s="46" t="str">
        <f t="shared" si="48"/>
        <v>Yes</v>
      </c>
      <c r="CH109" s="46" t="s">
        <v>29</v>
      </c>
      <c r="CI109" s="56">
        <v>300</v>
      </c>
      <c r="CJ109" s="46">
        <v>50</v>
      </c>
      <c r="CK109" s="46" t="s">
        <v>23</v>
      </c>
      <c r="CL109" s="49" t="s">
        <v>29</v>
      </c>
      <c r="CM109" s="50">
        <v>0</v>
      </c>
      <c r="CN109" s="50"/>
      <c r="CO109" s="50"/>
      <c r="CP109" s="46" t="s">
        <v>23</v>
      </c>
      <c r="CQ109" s="46" t="s">
        <v>23</v>
      </c>
      <c r="CR109" s="46">
        <v>7</v>
      </c>
      <c r="CS109" s="46" t="s">
        <v>855</v>
      </c>
      <c r="CT109" s="71" t="s">
        <v>53</v>
      </c>
      <c r="CU109" s="46" t="s">
        <v>74</v>
      </c>
      <c r="CV109" s="46">
        <v>2</v>
      </c>
      <c r="CW109" s="46" t="s">
        <v>23</v>
      </c>
      <c r="CX109" s="49" t="s">
        <v>743</v>
      </c>
      <c r="CY109" s="49" t="s">
        <v>36</v>
      </c>
      <c r="CZ109" s="49">
        <v>0</v>
      </c>
      <c r="DA109" s="49">
        <v>1</v>
      </c>
      <c r="DB109" s="64">
        <v>241480</v>
      </c>
      <c r="DC109" s="58">
        <v>32.800000000000004</v>
      </c>
      <c r="DD109" s="58">
        <v>40.949999999999996</v>
      </c>
      <c r="DE109" s="58">
        <v>9.59</v>
      </c>
      <c r="DF109" s="58">
        <v>12.3</v>
      </c>
      <c r="DG109" s="58">
        <v>4.3599999999999977</v>
      </c>
      <c r="DH109" s="58">
        <v>67.199999999999989</v>
      </c>
      <c r="DI109" s="45" t="s">
        <v>35</v>
      </c>
      <c r="DJ109" s="59" t="str">
        <f t="shared" si="49"/>
        <v>No single majority group</v>
      </c>
      <c r="DK109" s="65">
        <v>241480</v>
      </c>
      <c r="DL109" s="58">
        <v>32.800000000000004</v>
      </c>
      <c r="DM109" s="58">
        <v>40.949999999999996</v>
      </c>
      <c r="DN109" s="58">
        <v>9.59</v>
      </c>
      <c r="DO109" s="58">
        <v>67.199999999999989</v>
      </c>
      <c r="DP109" s="66">
        <v>51.7</v>
      </c>
      <c r="DQ109" s="67">
        <v>55066.55</v>
      </c>
      <c r="DR109" s="53">
        <v>19.399999999999999</v>
      </c>
      <c r="DS109" s="58">
        <v>69.099999999999994</v>
      </c>
      <c r="DT109" s="53">
        <v>41.4</v>
      </c>
      <c r="DU109" s="55">
        <v>2.6</v>
      </c>
      <c r="DV109" s="50">
        <v>33.299999999999997</v>
      </c>
      <c r="DW109" s="53">
        <v>73.900000000000006</v>
      </c>
      <c r="DX109" s="53">
        <v>85.620599999999996</v>
      </c>
      <c r="DY109" s="53">
        <v>42.246299999999998</v>
      </c>
      <c r="DZ109" s="63"/>
    </row>
    <row r="110" spans="1:130" s="5" customFormat="1" ht="14.25" hidden="1" customHeight="1">
      <c r="A110" s="45">
        <v>1127</v>
      </c>
      <c r="B110" s="46" t="s">
        <v>110</v>
      </c>
      <c r="C110" s="47">
        <v>2004</v>
      </c>
      <c r="D110" s="47" t="s">
        <v>154</v>
      </c>
      <c r="E110" s="46" t="s">
        <v>22</v>
      </c>
      <c r="F110" s="46">
        <v>4</v>
      </c>
      <c r="G110" s="48">
        <v>82204</v>
      </c>
      <c r="H110" s="46" t="s">
        <v>249</v>
      </c>
      <c r="I110" s="46">
        <v>1</v>
      </c>
      <c r="J110" s="46">
        <v>3</v>
      </c>
      <c r="K110" s="49" t="s">
        <v>165</v>
      </c>
      <c r="L110" s="49" t="s">
        <v>30</v>
      </c>
      <c r="M110" s="49" t="s">
        <v>29</v>
      </c>
      <c r="N110" s="49" t="s">
        <v>513</v>
      </c>
      <c r="O110" s="49"/>
      <c r="P110" s="49" t="s">
        <v>34</v>
      </c>
      <c r="Q110" s="49" t="s">
        <v>35</v>
      </c>
      <c r="R110" s="49">
        <v>1</v>
      </c>
      <c r="S110" s="50">
        <f t="shared" si="42"/>
        <v>33.333333333333329</v>
      </c>
      <c r="T110" s="49">
        <v>3</v>
      </c>
      <c r="U110" s="50">
        <f t="shared" si="43"/>
        <v>100</v>
      </c>
      <c r="V110" s="49" t="s">
        <v>892</v>
      </c>
      <c r="W110" s="49">
        <v>1</v>
      </c>
      <c r="X110" s="50">
        <f t="shared" si="44"/>
        <v>33.333333333333329</v>
      </c>
      <c r="Y110" s="51" t="str">
        <f t="shared" si="45"/>
        <v>No</v>
      </c>
      <c r="Z110" s="49" t="s">
        <v>29</v>
      </c>
      <c r="AA110" s="49" t="s">
        <v>35</v>
      </c>
      <c r="AB110" s="49" t="s">
        <v>29</v>
      </c>
      <c r="AC110" s="46" t="s">
        <v>151</v>
      </c>
      <c r="AD110" s="46" t="s">
        <v>152</v>
      </c>
      <c r="AE110" s="46" t="s">
        <v>89</v>
      </c>
      <c r="AF110" s="46" t="s">
        <v>29</v>
      </c>
      <c r="AG110" s="103"/>
      <c r="AH110" s="52">
        <v>74489</v>
      </c>
      <c r="AI110" s="52">
        <v>74489</v>
      </c>
      <c r="AJ110" s="102">
        <v>53.65</v>
      </c>
      <c r="AK110" s="104">
        <v>107.3</v>
      </c>
      <c r="AL110" s="102">
        <v>53.65</v>
      </c>
      <c r="AM110" s="102"/>
      <c r="AN110" s="53">
        <f t="shared" si="46"/>
        <v>107.3</v>
      </c>
      <c r="AO110" s="53">
        <v>37.06</v>
      </c>
      <c r="AP110" s="102"/>
      <c r="AQ110" s="102"/>
      <c r="AR110" s="50"/>
      <c r="AS110" s="50"/>
      <c r="AT110" s="102"/>
      <c r="AU110" s="102"/>
      <c r="AV110" s="50"/>
      <c r="AW110" s="50"/>
      <c r="AX110" s="50"/>
      <c r="AY110" s="50"/>
      <c r="AZ110" s="102"/>
      <c r="BA110" s="102"/>
      <c r="BB110" s="102"/>
      <c r="BC110" s="102"/>
      <c r="BD110" s="50"/>
      <c r="BE110" s="50"/>
      <c r="BF110" s="50"/>
      <c r="BG110" s="50"/>
      <c r="BH110" s="102"/>
      <c r="BI110" s="102"/>
      <c r="BJ110" s="50"/>
      <c r="BK110" s="50"/>
      <c r="BL110" s="50"/>
      <c r="BM110" s="50"/>
      <c r="BN110" s="102"/>
      <c r="BO110" s="50"/>
      <c r="BP110" s="50"/>
      <c r="BQ110" s="50"/>
      <c r="BR110" s="102"/>
      <c r="BS110" s="54" t="s">
        <v>29</v>
      </c>
      <c r="BT110" s="45" t="str">
        <f t="shared" si="50"/>
        <v>Yes</v>
      </c>
      <c r="BU110" s="45" t="str">
        <f t="shared" si="51"/>
        <v>Yes</v>
      </c>
      <c r="BV110" s="45" t="str">
        <f t="shared" si="52"/>
        <v>No</v>
      </c>
      <c r="BW110" s="55">
        <v>89.089574850866398</v>
      </c>
      <c r="BX110" s="55">
        <v>89.089574850866398</v>
      </c>
      <c r="BY110" s="55">
        <v>90.319574850866388</v>
      </c>
      <c r="BZ110" s="55">
        <f>BX110-(-0.0246*100/2)</f>
        <v>90.319574850866402</v>
      </c>
      <c r="CA110" s="45">
        <v>2004</v>
      </c>
      <c r="CB110" s="55">
        <f t="shared" si="47"/>
        <v>30.846861023687261</v>
      </c>
      <c r="CC110" s="46" t="s">
        <v>150</v>
      </c>
      <c r="CD110" s="46" t="s">
        <v>151</v>
      </c>
      <c r="CE110" s="46" t="s">
        <v>783</v>
      </c>
      <c r="CF110" s="46">
        <v>2</v>
      </c>
      <c r="CG110" s="46" t="str">
        <f t="shared" si="48"/>
        <v>Yes</v>
      </c>
      <c r="CH110" s="46" t="s">
        <v>29</v>
      </c>
      <c r="CI110" s="56">
        <v>300</v>
      </c>
      <c r="CJ110" s="46">
        <v>50</v>
      </c>
      <c r="CK110" s="46" t="s">
        <v>23</v>
      </c>
      <c r="CL110" s="49" t="s">
        <v>29</v>
      </c>
      <c r="CM110" s="50">
        <v>0</v>
      </c>
      <c r="CN110" s="50"/>
      <c r="CO110" s="50"/>
      <c r="CP110" s="46" t="s">
        <v>23</v>
      </c>
      <c r="CQ110" s="46" t="s">
        <v>24</v>
      </c>
      <c r="CR110" s="46">
        <v>7</v>
      </c>
      <c r="CS110" s="46" t="s">
        <v>855</v>
      </c>
      <c r="CT110" s="71" t="s">
        <v>53</v>
      </c>
      <c r="CU110" s="46" t="s">
        <v>74</v>
      </c>
      <c r="CV110" s="46">
        <v>2</v>
      </c>
      <c r="CW110" s="46" t="s">
        <v>23</v>
      </c>
      <c r="CX110" s="49" t="s">
        <v>743</v>
      </c>
      <c r="CY110" s="49" t="s">
        <v>36</v>
      </c>
      <c r="CZ110" s="49">
        <v>0</v>
      </c>
      <c r="DA110" s="49">
        <v>1</v>
      </c>
      <c r="DB110" s="64">
        <v>241480</v>
      </c>
      <c r="DC110" s="58">
        <v>32.800000000000004</v>
      </c>
      <c r="DD110" s="58">
        <v>40.949999999999996</v>
      </c>
      <c r="DE110" s="58">
        <v>9.59</v>
      </c>
      <c r="DF110" s="58">
        <v>12.3</v>
      </c>
      <c r="DG110" s="58">
        <v>4.3599999999999977</v>
      </c>
      <c r="DH110" s="58">
        <v>67.199999999999989</v>
      </c>
      <c r="DI110" s="45" t="s">
        <v>35</v>
      </c>
      <c r="DJ110" s="59" t="str">
        <f t="shared" si="49"/>
        <v>No single majority group</v>
      </c>
      <c r="DK110" s="65">
        <v>241480</v>
      </c>
      <c r="DL110" s="58">
        <v>32.800000000000004</v>
      </c>
      <c r="DM110" s="58">
        <v>40.949999999999996</v>
      </c>
      <c r="DN110" s="58">
        <v>9.59</v>
      </c>
      <c r="DO110" s="58">
        <v>67.199999999999989</v>
      </c>
      <c r="DP110" s="66">
        <v>51.7</v>
      </c>
      <c r="DQ110" s="67">
        <v>55066.55</v>
      </c>
      <c r="DR110" s="53">
        <v>19.399999999999999</v>
      </c>
      <c r="DS110" s="58">
        <v>69.099999999999994</v>
      </c>
      <c r="DT110" s="53">
        <v>41.4</v>
      </c>
      <c r="DU110" s="55">
        <v>2.6</v>
      </c>
      <c r="DV110" s="50">
        <v>33.299999999999997</v>
      </c>
      <c r="DW110" s="53">
        <v>73.900000000000006</v>
      </c>
      <c r="DX110" s="53">
        <v>85.620599999999996</v>
      </c>
      <c r="DY110" s="53">
        <v>42.246299999999998</v>
      </c>
      <c r="DZ110" s="63"/>
    </row>
    <row r="111" spans="1:130" s="5" customFormat="1" ht="14.25" hidden="1" customHeight="1">
      <c r="A111" s="45">
        <v>1129</v>
      </c>
      <c r="B111" s="46" t="s">
        <v>110</v>
      </c>
      <c r="C111" s="47">
        <v>2004</v>
      </c>
      <c r="D111" s="47" t="s">
        <v>76</v>
      </c>
      <c r="E111" s="46" t="s">
        <v>77</v>
      </c>
      <c r="F111" s="46">
        <v>4</v>
      </c>
      <c r="G111" s="48">
        <v>82204</v>
      </c>
      <c r="H111" s="46" t="s">
        <v>249</v>
      </c>
      <c r="I111" s="46">
        <v>1</v>
      </c>
      <c r="J111" s="46">
        <v>1</v>
      </c>
      <c r="K111" s="49" t="s">
        <v>156</v>
      </c>
      <c r="L111" s="49" t="s">
        <v>40</v>
      </c>
      <c r="M111" s="49" t="s">
        <v>35</v>
      </c>
      <c r="N111" s="49" t="s">
        <v>513</v>
      </c>
      <c r="O111" s="49"/>
      <c r="P111" s="49" t="s">
        <v>31</v>
      </c>
      <c r="Q111" s="49" t="s">
        <v>29</v>
      </c>
      <c r="R111" s="49">
        <v>1</v>
      </c>
      <c r="S111" s="50">
        <f t="shared" si="42"/>
        <v>100</v>
      </c>
      <c r="T111" s="49">
        <v>0</v>
      </c>
      <c r="U111" s="50">
        <f t="shared" si="43"/>
        <v>0</v>
      </c>
      <c r="V111" s="45"/>
      <c r="W111" s="49">
        <v>0</v>
      </c>
      <c r="X111" s="50">
        <f t="shared" si="44"/>
        <v>0</v>
      </c>
      <c r="Y111" s="51" t="str">
        <f t="shared" si="45"/>
        <v>No</v>
      </c>
      <c r="Z111" s="49" t="s">
        <v>29</v>
      </c>
      <c r="AA111" s="49" t="s">
        <v>29</v>
      </c>
      <c r="AB111" s="45" t="s">
        <v>35</v>
      </c>
      <c r="AC111" s="46" t="s">
        <v>151</v>
      </c>
      <c r="AD111" s="46" t="s">
        <v>152</v>
      </c>
      <c r="AE111" s="46" t="s">
        <v>89</v>
      </c>
      <c r="AF111" s="46" t="s">
        <v>29</v>
      </c>
      <c r="AG111" s="103"/>
      <c r="AH111" s="52">
        <v>15304</v>
      </c>
      <c r="AI111" s="52">
        <v>15304</v>
      </c>
      <c r="AJ111" s="102">
        <v>98.82</v>
      </c>
      <c r="AK111" s="104">
        <v>197.64</v>
      </c>
      <c r="AL111" s="102">
        <v>98.82</v>
      </c>
      <c r="AM111" s="102"/>
      <c r="AN111" s="53">
        <f t="shared" si="46"/>
        <v>197.64</v>
      </c>
      <c r="AO111" s="53" t="s">
        <v>23</v>
      </c>
      <c r="AP111" s="102"/>
      <c r="AQ111" s="102"/>
      <c r="AR111" s="102"/>
      <c r="AS111" s="102"/>
      <c r="AT111" s="102"/>
      <c r="AU111" s="102"/>
      <c r="AV111" s="102"/>
      <c r="AW111" s="102"/>
      <c r="AX111" s="102"/>
      <c r="AY111" s="102"/>
      <c r="AZ111" s="102"/>
      <c r="BA111" s="102"/>
      <c r="BB111" s="102"/>
      <c r="BC111" s="102"/>
      <c r="BD111" s="102"/>
      <c r="BE111" s="102"/>
      <c r="BF111" s="102"/>
      <c r="BG111" s="102"/>
      <c r="BH111" s="102"/>
      <c r="BI111" s="102"/>
      <c r="BJ111" s="102"/>
      <c r="BK111" s="102"/>
      <c r="BL111" s="102"/>
      <c r="BM111" s="102"/>
      <c r="BN111" s="102"/>
      <c r="BO111" s="102"/>
      <c r="BP111" s="102"/>
      <c r="BQ111" s="102"/>
      <c r="BR111" s="102"/>
      <c r="BS111" s="54" t="s">
        <v>23</v>
      </c>
      <c r="BT111" s="45" t="str">
        <f t="shared" si="50"/>
        <v>No</v>
      </c>
      <c r="BU111" s="45" t="str">
        <f t="shared" si="51"/>
        <v>No</v>
      </c>
      <c r="BV111" s="45" t="str">
        <f t="shared" si="52"/>
        <v>No</v>
      </c>
      <c r="BW111" s="55">
        <v>89.089574850866398</v>
      </c>
      <c r="BX111" s="55"/>
      <c r="BY111" s="55">
        <v>90.319574850866388</v>
      </c>
      <c r="BZ111" s="55"/>
      <c r="CA111" s="45">
        <v>2004</v>
      </c>
      <c r="CB111" s="55">
        <f t="shared" si="47"/>
        <v>33.292725374173337</v>
      </c>
      <c r="CC111" s="46" t="s">
        <v>150</v>
      </c>
      <c r="CD111" s="46" t="s">
        <v>151</v>
      </c>
      <c r="CE111" s="46" t="s">
        <v>783</v>
      </c>
      <c r="CF111" s="46">
        <v>2</v>
      </c>
      <c r="CG111" s="46" t="str">
        <f t="shared" si="48"/>
        <v>Yes</v>
      </c>
      <c r="CH111" s="46" t="s">
        <v>29</v>
      </c>
      <c r="CI111" s="56">
        <v>300</v>
      </c>
      <c r="CJ111" s="46">
        <v>50</v>
      </c>
      <c r="CK111" s="46" t="s">
        <v>23</v>
      </c>
      <c r="CL111" s="49" t="s">
        <v>29</v>
      </c>
      <c r="CM111" s="50">
        <v>0</v>
      </c>
      <c r="CN111" s="50"/>
      <c r="CO111" s="50"/>
      <c r="CP111" s="46" t="s">
        <v>23</v>
      </c>
      <c r="CQ111" s="46" t="s">
        <v>24</v>
      </c>
      <c r="CR111" s="46">
        <v>7</v>
      </c>
      <c r="CS111" s="46" t="s">
        <v>855</v>
      </c>
      <c r="CT111" s="46" t="s">
        <v>856</v>
      </c>
      <c r="CU111" s="46" t="s">
        <v>74</v>
      </c>
      <c r="CV111" s="46">
        <v>2</v>
      </c>
      <c r="CW111" s="46" t="s">
        <v>23</v>
      </c>
      <c r="CX111" s="49" t="s">
        <v>743</v>
      </c>
      <c r="CY111" s="49" t="s">
        <v>36</v>
      </c>
      <c r="CZ111" s="49">
        <v>0</v>
      </c>
      <c r="DA111" s="49">
        <v>1</v>
      </c>
      <c r="DB111" s="64">
        <v>45968</v>
      </c>
      <c r="DC111" s="58">
        <v>56.85</v>
      </c>
      <c r="DD111" s="58">
        <v>27.939999999999998</v>
      </c>
      <c r="DE111" s="58">
        <v>4.92</v>
      </c>
      <c r="DF111" s="58">
        <v>5.96</v>
      </c>
      <c r="DG111" s="58">
        <v>6.0020013922728852</v>
      </c>
      <c r="DH111" s="58">
        <v>43.15</v>
      </c>
      <c r="DI111" s="45" t="s">
        <v>29</v>
      </c>
      <c r="DJ111" s="59" t="str">
        <f t="shared" si="49"/>
        <v>N/A</v>
      </c>
      <c r="DK111" s="65">
        <v>45968</v>
      </c>
      <c r="DL111" s="58">
        <v>56.85</v>
      </c>
      <c r="DM111" s="58">
        <v>27.939999999999998</v>
      </c>
      <c r="DN111" s="58">
        <v>4.92</v>
      </c>
      <c r="DO111" s="58">
        <v>43.15</v>
      </c>
      <c r="DP111" s="66">
        <v>51.7</v>
      </c>
      <c r="DQ111" s="67">
        <v>55066.55</v>
      </c>
      <c r="DR111" s="53">
        <v>19.399999999999999</v>
      </c>
      <c r="DS111" s="58">
        <v>69.099999999999994</v>
      </c>
      <c r="DT111" s="53">
        <v>41.4</v>
      </c>
      <c r="DU111" s="105">
        <v>2.6</v>
      </c>
      <c r="DV111" s="102">
        <v>33.299999999999997</v>
      </c>
      <c r="DW111" s="53">
        <v>73.900000000000006</v>
      </c>
      <c r="DX111" s="53">
        <v>85.620599999999996</v>
      </c>
      <c r="DY111" s="53">
        <v>42.246299999999998</v>
      </c>
      <c r="DZ111" s="63"/>
    </row>
    <row r="112" spans="1:130" s="5" customFormat="1" ht="14.25" hidden="1" customHeight="1">
      <c r="A112" s="45">
        <v>1131</v>
      </c>
      <c r="B112" s="46" t="s">
        <v>110</v>
      </c>
      <c r="C112" s="47">
        <v>2004</v>
      </c>
      <c r="D112" s="47" t="s">
        <v>94</v>
      </c>
      <c r="E112" s="46" t="s">
        <v>95</v>
      </c>
      <c r="F112" s="46">
        <v>4</v>
      </c>
      <c r="G112" s="48">
        <v>82204</v>
      </c>
      <c r="H112" s="46" t="s">
        <v>249</v>
      </c>
      <c r="I112" s="46">
        <v>1</v>
      </c>
      <c r="J112" s="46">
        <v>1</v>
      </c>
      <c r="K112" s="49" t="s">
        <v>157</v>
      </c>
      <c r="L112" s="49" t="s">
        <v>40</v>
      </c>
      <c r="M112" s="49" t="s">
        <v>35</v>
      </c>
      <c r="N112" s="49" t="s">
        <v>513</v>
      </c>
      <c r="O112" s="49"/>
      <c r="P112" s="49" t="s">
        <v>31</v>
      </c>
      <c r="Q112" s="49" t="s">
        <v>29</v>
      </c>
      <c r="R112" s="49">
        <v>1</v>
      </c>
      <c r="S112" s="50">
        <f t="shared" si="42"/>
        <v>100</v>
      </c>
      <c r="T112" s="49">
        <v>0</v>
      </c>
      <c r="U112" s="50">
        <f t="shared" si="43"/>
        <v>0</v>
      </c>
      <c r="V112" s="45"/>
      <c r="W112" s="49">
        <v>0</v>
      </c>
      <c r="X112" s="50">
        <f t="shared" si="44"/>
        <v>0</v>
      </c>
      <c r="Y112" s="51" t="str">
        <f t="shared" si="45"/>
        <v>No</v>
      </c>
      <c r="Z112" s="49" t="s">
        <v>29</v>
      </c>
      <c r="AA112" s="49" t="s">
        <v>29</v>
      </c>
      <c r="AB112" s="45" t="s">
        <v>35</v>
      </c>
      <c r="AC112" s="46" t="s">
        <v>151</v>
      </c>
      <c r="AD112" s="46" t="s">
        <v>152</v>
      </c>
      <c r="AE112" s="46" t="s">
        <v>89</v>
      </c>
      <c r="AF112" s="46" t="s">
        <v>29</v>
      </c>
      <c r="AG112" s="103"/>
      <c r="AH112" s="52">
        <v>8821</v>
      </c>
      <c r="AI112" s="52">
        <v>8821</v>
      </c>
      <c r="AJ112" s="102">
        <v>98.84</v>
      </c>
      <c r="AK112" s="104">
        <v>197.68</v>
      </c>
      <c r="AL112" s="102">
        <v>98.84</v>
      </c>
      <c r="AM112" s="102"/>
      <c r="AN112" s="53">
        <f t="shared" si="46"/>
        <v>197.68</v>
      </c>
      <c r="AO112" s="53" t="s">
        <v>23</v>
      </c>
      <c r="AP112" s="102"/>
      <c r="AQ112" s="102"/>
      <c r="AR112" s="102"/>
      <c r="AS112" s="102"/>
      <c r="AT112" s="102"/>
      <c r="AU112" s="102"/>
      <c r="AV112" s="102"/>
      <c r="AW112" s="102"/>
      <c r="AX112" s="102"/>
      <c r="AY112" s="102"/>
      <c r="AZ112" s="102"/>
      <c r="BA112" s="102"/>
      <c r="BB112" s="102"/>
      <c r="BC112" s="102"/>
      <c r="BD112" s="102"/>
      <c r="BE112" s="102"/>
      <c r="BF112" s="102"/>
      <c r="BG112" s="102"/>
      <c r="BH112" s="102"/>
      <c r="BI112" s="102"/>
      <c r="BJ112" s="102"/>
      <c r="BK112" s="102"/>
      <c r="BL112" s="102"/>
      <c r="BM112" s="102"/>
      <c r="BN112" s="102"/>
      <c r="BO112" s="102"/>
      <c r="BP112" s="102"/>
      <c r="BQ112" s="102"/>
      <c r="BR112" s="102"/>
      <c r="BS112" s="54" t="s">
        <v>23</v>
      </c>
      <c r="BT112" s="45" t="str">
        <f t="shared" si="50"/>
        <v>No</v>
      </c>
      <c r="BU112" s="45" t="str">
        <f t="shared" si="51"/>
        <v>No</v>
      </c>
      <c r="BV112" s="45" t="str">
        <f t="shared" si="52"/>
        <v>No</v>
      </c>
      <c r="BW112" s="55">
        <v>89.089574850866398</v>
      </c>
      <c r="BX112" s="55"/>
      <c r="BY112" s="55">
        <v>90.319574850866388</v>
      </c>
      <c r="BZ112" s="55"/>
      <c r="CA112" s="45">
        <v>2004</v>
      </c>
      <c r="CB112" s="55">
        <f t="shared" si="47"/>
        <v>21.844431787226664</v>
      </c>
      <c r="CC112" s="46" t="s">
        <v>150</v>
      </c>
      <c r="CD112" s="46" t="s">
        <v>151</v>
      </c>
      <c r="CE112" s="46" t="s">
        <v>783</v>
      </c>
      <c r="CF112" s="46">
        <v>2</v>
      </c>
      <c r="CG112" s="46" t="str">
        <f t="shared" si="48"/>
        <v>Yes</v>
      </c>
      <c r="CH112" s="46" t="s">
        <v>29</v>
      </c>
      <c r="CI112" s="56">
        <v>300</v>
      </c>
      <c r="CJ112" s="46">
        <v>50</v>
      </c>
      <c r="CK112" s="46" t="s">
        <v>23</v>
      </c>
      <c r="CL112" s="49" t="s">
        <v>29</v>
      </c>
      <c r="CM112" s="102">
        <v>0</v>
      </c>
      <c r="CN112" s="102"/>
      <c r="CO112" s="102"/>
      <c r="CP112" s="46" t="s">
        <v>23</v>
      </c>
      <c r="CQ112" s="46" t="s">
        <v>24</v>
      </c>
      <c r="CR112" s="46">
        <v>7</v>
      </c>
      <c r="CS112" s="46" t="s">
        <v>855</v>
      </c>
      <c r="CT112" s="46" t="s">
        <v>856</v>
      </c>
      <c r="CU112" s="46" t="s">
        <v>74</v>
      </c>
      <c r="CV112" s="46">
        <v>2</v>
      </c>
      <c r="CW112" s="46" t="s">
        <v>23</v>
      </c>
      <c r="CX112" s="49" t="s">
        <v>743</v>
      </c>
      <c r="CY112" s="49" t="s">
        <v>36</v>
      </c>
      <c r="CZ112" s="49">
        <v>0</v>
      </c>
      <c r="DA112" s="49">
        <v>1</v>
      </c>
      <c r="DB112" s="64">
        <v>40381</v>
      </c>
      <c r="DC112" s="58">
        <v>27.3</v>
      </c>
      <c r="DD112" s="58">
        <v>48.9</v>
      </c>
      <c r="DE112" s="58">
        <v>7.1800000000000006</v>
      </c>
      <c r="DF112" s="58">
        <v>11.87</v>
      </c>
      <c r="DG112" s="58">
        <v>6.6219261533889702</v>
      </c>
      <c r="DH112" s="58">
        <v>72.7</v>
      </c>
      <c r="DI112" s="45" t="s">
        <v>35</v>
      </c>
      <c r="DJ112" s="59" t="str">
        <f t="shared" si="49"/>
        <v>No single majority group</v>
      </c>
      <c r="DK112" s="65">
        <v>40381</v>
      </c>
      <c r="DL112" s="58">
        <v>27.3</v>
      </c>
      <c r="DM112" s="58">
        <v>48.9</v>
      </c>
      <c r="DN112" s="58">
        <v>7.1800000000000006</v>
      </c>
      <c r="DO112" s="58">
        <v>72.7</v>
      </c>
      <c r="DP112" s="66">
        <v>51.7</v>
      </c>
      <c r="DQ112" s="67">
        <v>55066.55</v>
      </c>
      <c r="DR112" s="53">
        <v>19.399999999999999</v>
      </c>
      <c r="DS112" s="58">
        <v>69.099999999999994</v>
      </c>
      <c r="DT112" s="53">
        <v>41.4</v>
      </c>
      <c r="DU112" s="105">
        <v>2.6</v>
      </c>
      <c r="DV112" s="102">
        <v>33.299999999999997</v>
      </c>
      <c r="DW112" s="53">
        <v>73.900000000000006</v>
      </c>
      <c r="DX112" s="53">
        <v>85.620599999999996</v>
      </c>
      <c r="DY112" s="53">
        <v>42.246299999999998</v>
      </c>
      <c r="DZ112" s="63"/>
    </row>
    <row r="113" spans="1:130" s="5" customFormat="1" ht="14.25" hidden="1" customHeight="1">
      <c r="A113" s="45">
        <v>1133</v>
      </c>
      <c r="B113" s="46" t="s">
        <v>110</v>
      </c>
      <c r="C113" s="47">
        <v>2004</v>
      </c>
      <c r="D113" s="47" t="s">
        <v>97</v>
      </c>
      <c r="E113" s="46" t="s">
        <v>98</v>
      </c>
      <c r="F113" s="46">
        <v>4</v>
      </c>
      <c r="G113" s="48">
        <v>82204</v>
      </c>
      <c r="H113" s="46" t="s">
        <v>249</v>
      </c>
      <c r="I113" s="46">
        <v>1</v>
      </c>
      <c r="J113" s="46">
        <v>1</v>
      </c>
      <c r="K113" s="49" t="s">
        <v>158</v>
      </c>
      <c r="L113" s="49" t="s">
        <v>30</v>
      </c>
      <c r="M113" s="49" t="s">
        <v>29</v>
      </c>
      <c r="N113" s="49" t="s">
        <v>513</v>
      </c>
      <c r="O113" s="49"/>
      <c r="P113" s="49" t="s">
        <v>857</v>
      </c>
      <c r="Q113" s="49" t="s">
        <v>35</v>
      </c>
      <c r="R113" s="49">
        <v>0</v>
      </c>
      <c r="S113" s="50">
        <f t="shared" si="42"/>
        <v>0</v>
      </c>
      <c r="T113" s="49">
        <v>1</v>
      </c>
      <c r="U113" s="50">
        <f t="shared" si="43"/>
        <v>100</v>
      </c>
      <c r="V113" s="49" t="s">
        <v>789</v>
      </c>
      <c r="W113" s="49">
        <v>0</v>
      </c>
      <c r="X113" s="50">
        <f t="shared" si="44"/>
        <v>0</v>
      </c>
      <c r="Y113" s="51" t="str">
        <f t="shared" si="45"/>
        <v>No</v>
      </c>
      <c r="Z113" s="49" t="s">
        <v>29</v>
      </c>
      <c r="AA113" s="49" t="s">
        <v>35</v>
      </c>
      <c r="AB113" s="49" t="s">
        <v>29</v>
      </c>
      <c r="AC113" s="46" t="s">
        <v>151</v>
      </c>
      <c r="AD113" s="46" t="s">
        <v>152</v>
      </c>
      <c r="AE113" s="46" t="s">
        <v>89</v>
      </c>
      <c r="AF113" s="46" t="s">
        <v>29</v>
      </c>
      <c r="AG113" s="103"/>
      <c r="AH113" s="52">
        <v>4938</v>
      </c>
      <c r="AI113" s="52">
        <v>4938</v>
      </c>
      <c r="AJ113" s="102">
        <v>95.24</v>
      </c>
      <c r="AK113" s="104">
        <v>190.48</v>
      </c>
      <c r="AL113" s="102">
        <v>95.24</v>
      </c>
      <c r="AM113" s="102"/>
      <c r="AN113" s="53">
        <f t="shared" si="46"/>
        <v>190.48</v>
      </c>
      <c r="AO113" s="53" t="s">
        <v>23</v>
      </c>
      <c r="AP113" s="102"/>
      <c r="AQ113" s="102"/>
      <c r="AR113" s="102"/>
      <c r="AS113" s="102"/>
      <c r="AT113" s="102"/>
      <c r="AU113" s="102"/>
      <c r="AV113" s="102"/>
      <c r="AW113" s="102"/>
      <c r="AX113" s="102"/>
      <c r="AY113" s="102"/>
      <c r="AZ113" s="102"/>
      <c r="BA113" s="102"/>
      <c r="BB113" s="102"/>
      <c r="BC113" s="102"/>
      <c r="BD113" s="102"/>
      <c r="BE113" s="102"/>
      <c r="BF113" s="102"/>
      <c r="BG113" s="102"/>
      <c r="BH113" s="102"/>
      <c r="BI113" s="102"/>
      <c r="BJ113" s="102"/>
      <c r="BK113" s="102"/>
      <c r="BL113" s="102"/>
      <c r="BM113" s="102"/>
      <c r="BN113" s="102"/>
      <c r="BO113" s="102"/>
      <c r="BP113" s="102"/>
      <c r="BQ113" s="102"/>
      <c r="BR113" s="102"/>
      <c r="BS113" s="54" t="s">
        <v>23</v>
      </c>
      <c r="BT113" s="45" t="str">
        <f t="shared" si="50"/>
        <v>No</v>
      </c>
      <c r="BU113" s="45" t="str">
        <f t="shared" si="51"/>
        <v>No</v>
      </c>
      <c r="BV113" s="45" t="str">
        <f t="shared" si="52"/>
        <v>No</v>
      </c>
      <c r="BW113" s="55">
        <v>89.089574850866398</v>
      </c>
      <c r="BX113" s="55"/>
      <c r="BY113" s="55">
        <v>90.319574850866388</v>
      </c>
      <c r="BZ113" s="55"/>
      <c r="CA113" s="45">
        <v>2004</v>
      </c>
      <c r="CB113" s="55">
        <f t="shared" si="47"/>
        <v>19.548693586698338</v>
      </c>
      <c r="CC113" s="46" t="s">
        <v>150</v>
      </c>
      <c r="CD113" s="46" t="s">
        <v>151</v>
      </c>
      <c r="CE113" s="46" t="s">
        <v>783</v>
      </c>
      <c r="CF113" s="46">
        <v>2</v>
      </c>
      <c r="CG113" s="46" t="str">
        <f t="shared" si="48"/>
        <v>Yes</v>
      </c>
      <c r="CH113" s="46" t="s">
        <v>29</v>
      </c>
      <c r="CI113" s="56">
        <v>300</v>
      </c>
      <c r="CJ113" s="46">
        <v>50</v>
      </c>
      <c r="CK113" s="46" t="s">
        <v>23</v>
      </c>
      <c r="CL113" s="49" t="s">
        <v>29</v>
      </c>
      <c r="CM113" s="50">
        <v>0</v>
      </c>
      <c r="CN113" s="50"/>
      <c r="CO113" s="50"/>
      <c r="CP113" s="46" t="s">
        <v>23</v>
      </c>
      <c r="CQ113" s="46" t="s">
        <v>24</v>
      </c>
      <c r="CR113" s="46">
        <v>7</v>
      </c>
      <c r="CS113" s="46" t="s">
        <v>855</v>
      </c>
      <c r="CT113" s="46" t="s">
        <v>856</v>
      </c>
      <c r="CU113" s="46" t="s">
        <v>74</v>
      </c>
      <c r="CV113" s="46">
        <v>2</v>
      </c>
      <c r="CW113" s="46" t="s">
        <v>23</v>
      </c>
      <c r="CX113" s="49" t="s">
        <v>743</v>
      </c>
      <c r="CY113" s="49" t="s">
        <v>36</v>
      </c>
      <c r="CZ113" s="49">
        <v>0</v>
      </c>
      <c r="DA113" s="49">
        <v>1</v>
      </c>
      <c r="DB113" s="64">
        <v>25260</v>
      </c>
      <c r="DC113" s="58">
        <v>24.990000000000002</v>
      </c>
      <c r="DD113" s="58">
        <v>31.319999999999997</v>
      </c>
      <c r="DE113" s="58">
        <v>20.119999999999997</v>
      </c>
      <c r="DF113" s="58">
        <v>18.02</v>
      </c>
      <c r="DG113" s="58">
        <v>7.3713380839271574</v>
      </c>
      <c r="DH113" s="58">
        <v>75.010000000000005</v>
      </c>
      <c r="DI113" s="45" t="s">
        <v>35</v>
      </c>
      <c r="DJ113" s="59" t="str">
        <f t="shared" si="49"/>
        <v>No single majority group</v>
      </c>
      <c r="DK113" s="65">
        <v>25260</v>
      </c>
      <c r="DL113" s="58">
        <v>24.990000000000002</v>
      </c>
      <c r="DM113" s="58">
        <v>31.319999999999997</v>
      </c>
      <c r="DN113" s="58">
        <v>20.119999999999997</v>
      </c>
      <c r="DO113" s="58">
        <v>75.010000000000005</v>
      </c>
      <c r="DP113" s="66">
        <v>51.7</v>
      </c>
      <c r="DQ113" s="67">
        <v>55066.55</v>
      </c>
      <c r="DR113" s="53">
        <v>19.399999999999999</v>
      </c>
      <c r="DS113" s="58">
        <v>69.099999999999994</v>
      </c>
      <c r="DT113" s="53">
        <v>41.4</v>
      </c>
      <c r="DU113" s="55">
        <v>2.6</v>
      </c>
      <c r="DV113" s="50">
        <v>33.299999999999997</v>
      </c>
      <c r="DW113" s="53">
        <v>73.900000000000006</v>
      </c>
      <c r="DX113" s="53">
        <v>85.620599999999996</v>
      </c>
      <c r="DY113" s="53">
        <v>42.246299999999998</v>
      </c>
      <c r="DZ113" s="63"/>
    </row>
    <row r="114" spans="1:130" s="5" customFormat="1" ht="14.25" hidden="1" customHeight="1">
      <c r="A114" s="45">
        <v>1135</v>
      </c>
      <c r="B114" s="46" t="s">
        <v>110</v>
      </c>
      <c r="C114" s="47">
        <v>2004</v>
      </c>
      <c r="D114" s="47" t="s">
        <v>82</v>
      </c>
      <c r="E114" s="46" t="s">
        <v>83</v>
      </c>
      <c r="F114" s="46">
        <v>4</v>
      </c>
      <c r="G114" s="48">
        <v>82204</v>
      </c>
      <c r="H114" s="46" t="s">
        <v>249</v>
      </c>
      <c r="I114" s="46">
        <v>1</v>
      </c>
      <c r="J114" s="46">
        <v>3</v>
      </c>
      <c r="K114" s="49" t="s">
        <v>140</v>
      </c>
      <c r="L114" s="49" t="s">
        <v>30</v>
      </c>
      <c r="M114" s="49" t="s">
        <v>29</v>
      </c>
      <c r="N114" s="49" t="s">
        <v>513</v>
      </c>
      <c r="O114" s="49"/>
      <c r="P114" s="49" t="s">
        <v>201</v>
      </c>
      <c r="Q114" s="49" t="s">
        <v>35</v>
      </c>
      <c r="R114" s="49">
        <v>0</v>
      </c>
      <c r="S114" s="50">
        <f t="shared" si="42"/>
        <v>0</v>
      </c>
      <c r="T114" s="49">
        <v>2</v>
      </c>
      <c r="U114" s="50">
        <f t="shared" si="43"/>
        <v>66.666666666666657</v>
      </c>
      <c r="V114" s="49" t="s">
        <v>867</v>
      </c>
      <c r="W114" s="49">
        <v>0</v>
      </c>
      <c r="X114" s="50">
        <f t="shared" si="44"/>
        <v>0</v>
      </c>
      <c r="Y114" s="51" t="str">
        <f t="shared" si="45"/>
        <v>No</v>
      </c>
      <c r="Z114" s="45" t="s">
        <v>29</v>
      </c>
      <c r="AA114" s="49" t="s">
        <v>35</v>
      </c>
      <c r="AB114" s="49" t="s">
        <v>29</v>
      </c>
      <c r="AC114" s="46" t="s">
        <v>151</v>
      </c>
      <c r="AD114" s="46" t="s">
        <v>152</v>
      </c>
      <c r="AE114" s="46" t="s">
        <v>89</v>
      </c>
      <c r="AF114" s="46" t="s">
        <v>29</v>
      </c>
      <c r="AG114" s="103"/>
      <c r="AH114" s="52">
        <v>8046</v>
      </c>
      <c r="AI114" s="52">
        <v>8046</v>
      </c>
      <c r="AJ114" s="102">
        <v>68.2</v>
      </c>
      <c r="AK114" s="104">
        <v>136.4</v>
      </c>
      <c r="AL114" s="102">
        <v>68.2</v>
      </c>
      <c r="AM114" s="102"/>
      <c r="AN114" s="53">
        <f t="shared" si="46"/>
        <v>136.4</v>
      </c>
      <c r="AO114" s="53">
        <v>20.18</v>
      </c>
      <c r="AP114" s="102"/>
      <c r="AQ114" s="102"/>
      <c r="AR114" s="102"/>
      <c r="AS114" s="102"/>
      <c r="AT114" s="102"/>
      <c r="AU114" s="102"/>
      <c r="AV114" s="102"/>
      <c r="AW114" s="102"/>
      <c r="AX114" s="102"/>
      <c r="AY114" s="102"/>
      <c r="AZ114" s="102"/>
      <c r="BA114" s="102"/>
      <c r="BB114" s="102"/>
      <c r="BC114" s="102"/>
      <c r="BD114" s="102"/>
      <c r="BE114" s="102"/>
      <c r="BF114" s="102"/>
      <c r="BG114" s="102"/>
      <c r="BH114" s="102"/>
      <c r="BI114" s="102"/>
      <c r="BJ114" s="102"/>
      <c r="BK114" s="102"/>
      <c r="BL114" s="102"/>
      <c r="BM114" s="102"/>
      <c r="BN114" s="102"/>
      <c r="BO114" s="102"/>
      <c r="BP114" s="102"/>
      <c r="BQ114" s="102"/>
      <c r="BR114" s="102"/>
      <c r="BS114" s="54" t="s">
        <v>29</v>
      </c>
      <c r="BT114" s="45" t="str">
        <f t="shared" si="50"/>
        <v>No</v>
      </c>
      <c r="BU114" s="45" t="str">
        <f t="shared" si="51"/>
        <v>No</v>
      </c>
      <c r="BV114" s="45" t="str">
        <f t="shared" si="52"/>
        <v>No</v>
      </c>
      <c r="BW114" s="55">
        <v>89.089574850866398</v>
      </c>
      <c r="BX114" s="55"/>
      <c r="BY114" s="55">
        <v>90.319574850866388</v>
      </c>
      <c r="BZ114" s="55"/>
      <c r="CA114" s="45">
        <v>2004</v>
      </c>
      <c r="CB114" s="55">
        <f t="shared" si="47"/>
        <v>26.125921355976235</v>
      </c>
      <c r="CC114" s="46" t="s">
        <v>150</v>
      </c>
      <c r="CD114" s="46" t="s">
        <v>151</v>
      </c>
      <c r="CE114" s="46" t="s">
        <v>783</v>
      </c>
      <c r="CF114" s="46">
        <v>2</v>
      </c>
      <c r="CG114" s="46" t="str">
        <f t="shared" si="48"/>
        <v>Yes</v>
      </c>
      <c r="CH114" s="46" t="s">
        <v>29</v>
      </c>
      <c r="CI114" s="56">
        <v>300</v>
      </c>
      <c r="CJ114" s="46">
        <v>50</v>
      </c>
      <c r="CK114" s="46" t="s">
        <v>23</v>
      </c>
      <c r="CL114" s="49" t="s">
        <v>29</v>
      </c>
      <c r="CM114" s="50">
        <v>0</v>
      </c>
      <c r="CN114" s="50"/>
      <c r="CO114" s="50"/>
      <c r="CP114" s="46" t="s">
        <v>23</v>
      </c>
      <c r="CQ114" s="46" t="s">
        <v>24</v>
      </c>
      <c r="CR114" s="46">
        <v>7</v>
      </c>
      <c r="CS114" s="46" t="s">
        <v>855</v>
      </c>
      <c r="CT114" s="46" t="s">
        <v>856</v>
      </c>
      <c r="CU114" s="46" t="s">
        <v>74</v>
      </c>
      <c r="CV114" s="46">
        <v>2</v>
      </c>
      <c r="CW114" s="46" t="s">
        <v>23</v>
      </c>
      <c r="CX114" s="49" t="s">
        <v>743</v>
      </c>
      <c r="CY114" s="49" t="s">
        <v>36</v>
      </c>
      <c r="CZ114" s="49">
        <v>0</v>
      </c>
      <c r="DA114" s="49">
        <v>1</v>
      </c>
      <c r="DB114" s="64">
        <v>30797</v>
      </c>
      <c r="DC114" s="58">
        <v>10.67</v>
      </c>
      <c r="DD114" s="58">
        <v>70.45</v>
      </c>
      <c r="DE114" s="58">
        <v>12.01</v>
      </c>
      <c r="DF114" s="58">
        <v>2.94</v>
      </c>
      <c r="DG114" s="58">
        <v>4.9063220443549698</v>
      </c>
      <c r="DH114" s="58">
        <v>89.33</v>
      </c>
      <c r="DI114" s="45" t="s">
        <v>35</v>
      </c>
      <c r="DJ114" s="59" t="str">
        <f t="shared" si="49"/>
        <v>African American</v>
      </c>
      <c r="DK114" s="65">
        <v>30797</v>
      </c>
      <c r="DL114" s="58">
        <v>10.67</v>
      </c>
      <c r="DM114" s="58">
        <v>70.45</v>
      </c>
      <c r="DN114" s="58">
        <v>12.01</v>
      </c>
      <c r="DO114" s="58">
        <v>89.33</v>
      </c>
      <c r="DP114" s="66">
        <v>51.7</v>
      </c>
      <c r="DQ114" s="67">
        <v>55066.55</v>
      </c>
      <c r="DR114" s="53">
        <v>19.399999999999999</v>
      </c>
      <c r="DS114" s="58">
        <v>69.099999999999994</v>
      </c>
      <c r="DT114" s="53">
        <v>41.4</v>
      </c>
      <c r="DU114" s="55">
        <v>2.6</v>
      </c>
      <c r="DV114" s="50">
        <v>33.299999999999997</v>
      </c>
      <c r="DW114" s="53">
        <v>73.900000000000006</v>
      </c>
      <c r="DX114" s="53">
        <v>85.620599999999996</v>
      </c>
      <c r="DY114" s="53">
        <v>42.246299999999998</v>
      </c>
      <c r="DZ114" s="63"/>
    </row>
    <row r="115" spans="1:130" s="5" customFormat="1" ht="14.25" hidden="1" customHeight="1">
      <c r="A115" s="45">
        <v>1130</v>
      </c>
      <c r="B115" s="46" t="s">
        <v>110</v>
      </c>
      <c r="C115" s="47">
        <v>2004</v>
      </c>
      <c r="D115" s="47" t="s">
        <v>130</v>
      </c>
      <c r="E115" s="46" t="s">
        <v>77</v>
      </c>
      <c r="F115" s="46">
        <v>4</v>
      </c>
      <c r="G115" s="48">
        <v>10000</v>
      </c>
      <c r="H115" s="46" t="s">
        <v>332</v>
      </c>
      <c r="I115" s="46">
        <v>1</v>
      </c>
      <c r="J115" s="46">
        <v>1</v>
      </c>
      <c r="K115" s="49" t="s">
        <v>166</v>
      </c>
      <c r="L115" s="49" t="s">
        <v>40</v>
      </c>
      <c r="M115" s="49" t="s">
        <v>35</v>
      </c>
      <c r="N115" s="49" t="s">
        <v>513</v>
      </c>
      <c r="O115" s="49"/>
      <c r="P115" s="49" t="s">
        <v>31</v>
      </c>
      <c r="Q115" s="49" t="s">
        <v>29</v>
      </c>
      <c r="R115" s="49">
        <v>1</v>
      </c>
      <c r="S115" s="50">
        <f t="shared" si="42"/>
        <v>100</v>
      </c>
      <c r="T115" s="49">
        <v>0</v>
      </c>
      <c r="U115" s="50">
        <f t="shared" si="43"/>
        <v>0</v>
      </c>
      <c r="V115" s="45"/>
      <c r="W115" s="49">
        <v>0</v>
      </c>
      <c r="X115" s="50">
        <f t="shared" si="44"/>
        <v>0</v>
      </c>
      <c r="Y115" s="51" t="str">
        <f t="shared" si="45"/>
        <v>No</v>
      </c>
      <c r="Z115" s="49" t="s">
        <v>29</v>
      </c>
      <c r="AA115" s="49" t="s">
        <v>29</v>
      </c>
      <c r="AB115" s="45" t="s">
        <v>35</v>
      </c>
      <c r="AC115" s="46" t="s">
        <v>151</v>
      </c>
      <c r="AD115" s="46" t="s">
        <v>152</v>
      </c>
      <c r="AE115" s="46" t="s">
        <v>89</v>
      </c>
      <c r="AF115" s="46" t="s">
        <v>29</v>
      </c>
      <c r="AG115" s="103"/>
      <c r="AH115" s="52">
        <v>13926</v>
      </c>
      <c r="AI115" s="52">
        <v>13926</v>
      </c>
      <c r="AJ115" s="102">
        <v>99.07</v>
      </c>
      <c r="AK115" s="104">
        <v>198.14</v>
      </c>
      <c r="AL115" s="102">
        <v>99.07</v>
      </c>
      <c r="AM115" s="102"/>
      <c r="AN115" s="53">
        <f t="shared" si="46"/>
        <v>198.14</v>
      </c>
      <c r="AO115" s="53"/>
      <c r="AP115" s="102"/>
      <c r="AQ115" s="102"/>
      <c r="AR115" s="102"/>
      <c r="AS115" s="102"/>
      <c r="AT115" s="102"/>
      <c r="AU115" s="102"/>
      <c r="AV115" s="102"/>
      <c r="AW115" s="102"/>
      <c r="AX115" s="102"/>
      <c r="AY115" s="102"/>
      <c r="AZ115" s="102"/>
      <c r="BA115" s="102"/>
      <c r="BB115" s="102"/>
      <c r="BC115" s="102"/>
      <c r="BD115" s="102"/>
      <c r="BE115" s="102"/>
      <c r="BF115" s="102"/>
      <c r="BG115" s="102"/>
      <c r="BH115" s="102"/>
      <c r="BI115" s="102"/>
      <c r="BJ115" s="102"/>
      <c r="BK115" s="102"/>
      <c r="BL115" s="102"/>
      <c r="BM115" s="102"/>
      <c r="BN115" s="102"/>
      <c r="BO115" s="102"/>
      <c r="BP115" s="102"/>
      <c r="BQ115" s="102"/>
      <c r="BR115" s="102"/>
      <c r="BS115" s="54"/>
      <c r="BT115" s="45"/>
      <c r="BU115" s="45"/>
      <c r="BV115" s="45"/>
      <c r="BW115" s="55">
        <v>89.089574850866398</v>
      </c>
      <c r="BX115" s="55"/>
      <c r="BY115" s="55">
        <v>90.319574850866388</v>
      </c>
      <c r="BZ115" s="55"/>
      <c r="CA115" s="45">
        <v>2004</v>
      </c>
      <c r="CB115" s="55">
        <f t="shared" si="47"/>
        <v>30.294987817612252</v>
      </c>
      <c r="CC115" s="46" t="s">
        <v>150</v>
      </c>
      <c r="CD115" s="46" t="s">
        <v>151</v>
      </c>
      <c r="CE115" s="46" t="s">
        <v>783</v>
      </c>
      <c r="CF115" s="46">
        <v>2</v>
      </c>
      <c r="CG115" s="46" t="str">
        <f t="shared" si="48"/>
        <v>Yes</v>
      </c>
      <c r="CH115" s="46" t="s">
        <v>29</v>
      </c>
      <c r="CI115" s="56">
        <v>300</v>
      </c>
      <c r="CJ115" s="46">
        <v>50</v>
      </c>
      <c r="CK115" s="46" t="s">
        <v>23</v>
      </c>
      <c r="CL115" s="49" t="s">
        <v>29</v>
      </c>
      <c r="CM115" s="50">
        <v>0</v>
      </c>
      <c r="CN115" s="50"/>
      <c r="CO115" s="50"/>
      <c r="CP115" s="46" t="s">
        <v>23</v>
      </c>
      <c r="CQ115" s="46" t="s">
        <v>24</v>
      </c>
      <c r="CR115" s="46">
        <v>7</v>
      </c>
      <c r="CS115" s="46" t="s">
        <v>855</v>
      </c>
      <c r="CT115" s="46" t="s">
        <v>856</v>
      </c>
      <c r="CU115" s="46" t="s">
        <v>74</v>
      </c>
      <c r="CV115" s="46">
        <v>2</v>
      </c>
      <c r="CW115" s="46" t="s">
        <v>23</v>
      </c>
      <c r="CX115" s="49" t="s">
        <v>743</v>
      </c>
      <c r="CY115" s="49" t="s">
        <v>36</v>
      </c>
      <c r="CZ115" s="49">
        <v>0</v>
      </c>
      <c r="DA115" s="49">
        <v>1</v>
      </c>
      <c r="DB115" s="64">
        <v>45968</v>
      </c>
      <c r="DC115" s="58">
        <v>56.85</v>
      </c>
      <c r="DD115" s="58">
        <v>27.939999999999998</v>
      </c>
      <c r="DE115" s="58">
        <v>4.92</v>
      </c>
      <c r="DF115" s="58">
        <v>5.96</v>
      </c>
      <c r="DG115" s="58">
        <v>6.0020013922728852</v>
      </c>
      <c r="DH115" s="58">
        <v>43.15</v>
      </c>
      <c r="DI115" s="45" t="s">
        <v>29</v>
      </c>
      <c r="DJ115" s="59" t="str">
        <f t="shared" si="49"/>
        <v>N/A</v>
      </c>
      <c r="DK115" s="65">
        <v>45968</v>
      </c>
      <c r="DL115" s="58">
        <v>56.85</v>
      </c>
      <c r="DM115" s="58">
        <v>27.939999999999998</v>
      </c>
      <c r="DN115" s="58">
        <v>4.92</v>
      </c>
      <c r="DO115" s="58">
        <v>43.15</v>
      </c>
      <c r="DP115" s="66">
        <v>51.7</v>
      </c>
      <c r="DQ115" s="67">
        <v>55066.55</v>
      </c>
      <c r="DR115" s="53">
        <v>19.399999999999999</v>
      </c>
      <c r="DS115" s="58">
        <v>69.099999999999994</v>
      </c>
      <c r="DT115" s="53">
        <v>41.4</v>
      </c>
      <c r="DU115" s="55">
        <v>2.6</v>
      </c>
      <c r="DV115" s="50">
        <v>33.299999999999997</v>
      </c>
      <c r="DW115" s="53">
        <v>73.900000000000006</v>
      </c>
      <c r="DX115" s="53">
        <v>85.620599999999996</v>
      </c>
      <c r="DY115" s="53">
        <v>42.246299999999998</v>
      </c>
      <c r="DZ115" s="63"/>
    </row>
    <row r="116" spans="1:130" s="6" customFormat="1" ht="14.25" hidden="1" customHeight="1">
      <c r="A116" s="45">
        <v>1132</v>
      </c>
      <c r="B116" s="46" t="s">
        <v>110</v>
      </c>
      <c r="C116" s="47">
        <v>2004</v>
      </c>
      <c r="D116" s="47" t="s">
        <v>134</v>
      </c>
      <c r="E116" s="46" t="s">
        <v>95</v>
      </c>
      <c r="F116" s="46">
        <v>4</v>
      </c>
      <c r="G116" s="48">
        <v>10000</v>
      </c>
      <c r="H116" s="46" t="s">
        <v>332</v>
      </c>
      <c r="I116" s="46">
        <v>1</v>
      </c>
      <c r="J116" s="46">
        <v>1</v>
      </c>
      <c r="K116" s="49" t="s">
        <v>167</v>
      </c>
      <c r="L116" s="49" t="s">
        <v>30</v>
      </c>
      <c r="M116" s="49" t="s">
        <v>29</v>
      </c>
      <c r="N116" s="49" t="s">
        <v>513</v>
      </c>
      <c r="O116" s="49"/>
      <c r="P116" s="49" t="s">
        <v>201</v>
      </c>
      <c r="Q116" s="49" t="s">
        <v>35</v>
      </c>
      <c r="R116" s="49">
        <v>0</v>
      </c>
      <c r="S116" s="50">
        <f t="shared" si="42"/>
        <v>0</v>
      </c>
      <c r="T116" s="49">
        <v>1</v>
      </c>
      <c r="U116" s="50">
        <f t="shared" si="43"/>
        <v>100</v>
      </c>
      <c r="V116" s="49" t="s">
        <v>858</v>
      </c>
      <c r="W116" s="49">
        <v>0</v>
      </c>
      <c r="X116" s="50">
        <f t="shared" si="44"/>
        <v>0</v>
      </c>
      <c r="Y116" s="51" t="str">
        <f t="shared" si="45"/>
        <v>No</v>
      </c>
      <c r="Z116" s="49" t="s">
        <v>29</v>
      </c>
      <c r="AA116" s="49" t="s">
        <v>35</v>
      </c>
      <c r="AB116" s="49" t="s">
        <v>29</v>
      </c>
      <c r="AC116" s="46" t="s">
        <v>151</v>
      </c>
      <c r="AD116" s="46" t="s">
        <v>152</v>
      </c>
      <c r="AE116" s="46" t="s">
        <v>89</v>
      </c>
      <c r="AF116" s="46" t="s">
        <v>29</v>
      </c>
      <c r="AG116" s="103"/>
      <c r="AH116" s="52">
        <v>7968</v>
      </c>
      <c r="AI116" s="52">
        <v>7968</v>
      </c>
      <c r="AJ116" s="102">
        <v>98.93</v>
      </c>
      <c r="AK116" s="104">
        <v>197.86</v>
      </c>
      <c r="AL116" s="102">
        <v>98.93</v>
      </c>
      <c r="AM116" s="102"/>
      <c r="AN116" s="53">
        <f t="shared" si="46"/>
        <v>197.86</v>
      </c>
      <c r="AO116" s="53"/>
      <c r="AP116" s="102"/>
      <c r="AQ116" s="102"/>
      <c r="AR116" s="102"/>
      <c r="AS116" s="102"/>
      <c r="AT116" s="102"/>
      <c r="AU116" s="102"/>
      <c r="AV116" s="102"/>
      <c r="AW116" s="102"/>
      <c r="AX116" s="102"/>
      <c r="AY116" s="102"/>
      <c r="AZ116" s="102"/>
      <c r="BA116" s="102"/>
      <c r="BB116" s="102"/>
      <c r="BC116" s="102"/>
      <c r="BD116" s="102"/>
      <c r="BE116" s="102"/>
      <c r="BF116" s="102"/>
      <c r="BG116" s="102"/>
      <c r="BH116" s="102"/>
      <c r="BI116" s="102"/>
      <c r="BJ116" s="102"/>
      <c r="BK116" s="102"/>
      <c r="BL116" s="102"/>
      <c r="BM116" s="102"/>
      <c r="BN116" s="102"/>
      <c r="BO116" s="102"/>
      <c r="BP116" s="102"/>
      <c r="BQ116" s="102"/>
      <c r="BR116" s="102"/>
      <c r="BS116" s="54"/>
      <c r="BT116" s="45"/>
      <c r="BU116" s="45"/>
      <c r="BV116" s="45"/>
      <c r="BW116" s="55">
        <v>89.089574850866398</v>
      </c>
      <c r="BX116" s="55"/>
      <c r="BY116" s="55">
        <v>90.319574850866388</v>
      </c>
      <c r="BZ116" s="55"/>
      <c r="CA116" s="45">
        <v>2004</v>
      </c>
      <c r="CB116" s="55">
        <f t="shared" si="47"/>
        <v>19.732052202768628</v>
      </c>
      <c r="CC116" s="46" t="s">
        <v>150</v>
      </c>
      <c r="CD116" s="46" t="s">
        <v>151</v>
      </c>
      <c r="CE116" s="46" t="s">
        <v>783</v>
      </c>
      <c r="CF116" s="46">
        <v>2</v>
      </c>
      <c r="CG116" s="46" t="str">
        <f t="shared" si="48"/>
        <v>Yes</v>
      </c>
      <c r="CH116" s="46" t="s">
        <v>29</v>
      </c>
      <c r="CI116" s="56">
        <v>300</v>
      </c>
      <c r="CJ116" s="46">
        <v>50</v>
      </c>
      <c r="CK116" s="46" t="s">
        <v>23</v>
      </c>
      <c r="CL116" s="49" t="s">
        <v>29</v>
      </c>
      <c r="CM116" s="50">
        <v>0</v>
      </c>
      <c r="CN116" s="50"/>
      <c r="CO116" s="50"/>
      <c r="CP116" s="46" t="s">
        <v>23</v>
      </c>
      <c r="CQ116" s="46" t="s">
        <v>24</v>
      </c>
      <c r="CR116" s="46">
        <v>7</v>
      </c>
      <c r="CS116" s="46" t="s">
        <v>855</v>
      </c>
      <c r="CT116" s="46" t="s">
        <v>856</v>
      </c>
      <c r="CU116" s="46" t="s">
        <v>74</v>
      </c>
      <c r="CV116" s="46">
        <v>2</v>
      </c>
      <c r="CW116" s="46" t="s">
        <v>23</v>
      </c>
      <c r="CX116" s="49" t="s">
        <v>743</v>
      </c>
      <c r="CY116" s="49" t="s">
        <v>36</v>
      </c>
      <c r="CZ116" s="49">
        <v>0</v>
      </c>
      <c r="DA116" s="49">
        <v>1</v>
      </c>
      <c r="DB116" s="64">
        <v>40381</v>
      </c>
      <c r="DC116" s="58">
        <v>27.3</v>
      </c>
      <c r="DD116" s="58">
        <v>48.9</v>
      </c>
      <c r="DE116" s="58">
        <v>7.1800000000000006</v>
      </c>
      <c r="DF116" s="58">
        <v>11.87</v>
      </c>
      <c r="DG116" s="58">
        <v>6.6219261533889702</v>
      </c>
      <c r="DH116" s="58">
        <v>72.7</v>
      </c>
      <c r="DI116" s="45" t="s">
        <v>35</v>
      </c>
      <c r="DJ116" s="59" t="str">
        <f t="shared" si="49"/>
        <v>No single majority group</v>
      </c>
      <c r="DK116" s="65">
        <v>40381</v>
      </c>
      <c r="DL116" s="58">
        <v>27.3</v>
      </c>
      <c r="DM116" s="58">
        <v>48.9</v>
      </c>
      <c r="DN116" s="58">
        <v>7.1800000000000006</v>
      </c>
      <c r="DO116" s="58">
        <v>72.7</v>
      </c>
      <c r="DP116" s="66">
        <v>51.7</v>
      </c>
      <c r="DQ116" s="67">
        <v>55066.55</v>
      </c>
      <c r="DR116" s="53">
        <v>19.399999999999999</v>
      </c>
      <c r="DS116" s="58">
        <v>69.099999999999994</v>
      </c>
      <c r="DT116" s="53">
        <v>41.4</v>
      </c>
      <c r="DU116" s="55">
        <v>2.6</v>
      </c>
      <c r="DV116" s="50">
        <v>33.299999999999997</v>
      </c>
      <c r="DW116" s="53">
        <v>73.900000000000006</v>
      </c>
      <c r="DX116" s="53">
        <v>85.620599999999996</v>
      </c>
      <c r="DY116" s="53">
        <v>42.246299999999998</v>
      </c>
      <c r="DZ116" s="63"/>
    </row>
    <row r="117" spans="1:130" s="5" customFormat="1" ht="14.25" hidden="1" customHeight="1">
      <c r="A117" s="45">
        <v>1134</v>
      </c>
      <c r="B117" s="46" t="s">
        <v>110</v>
      </c>
      <c r="C117" s="47">
        <v>2004</v>
      </c>
      <c r="D117" s="47" t="s">
        <v>138</v>
      </c>
      <c r="E117" s="46" t="s">
        <v>98</v>
      </c>
      <c r="F117" s="46">
        <v>4</v>
      </c>
      <c r="G117" s="48">
        <v>10000</v>
      </c>
      <c r="H117" s="46" t="s">
        <v>332</v>
      </c>
      <c r="I117" s="46">
        <v>1</v>
      </c>
      <c r="J117" s="46">
        <v>1</v>
      </c>
      <c r="K117" s="49" t="s">
        <v>137</v>
      </c>
      <c r="L117" s="49" t="s">
        <v>30</v>
      </c>
      <c r="M117" s="49" t="s">
        <v>29</v>
      </c>
      <c r="N117" s="49" t="s">
        <v>513</v>
      </c>
      <c r="O117" s="49"/>
      <c r="P117" s="49" t="s">
        <v>857</v>
      </c>
      <c r="Q117" s="49" t="s">
        <v>35</v>
      </c>
      <c r="R117" s="49">
        <v>0</v>
      </c>
      <c r="S117" s="50">
        <f t="shared" si="42"/>
        <v>0</v>
      </c>
      <c r="T117" s="49">
        <v>1</v>
      </c>
      <c r="U117" s="50">
        <f t="shared" si="43"/>
        <v>100</v>
      </c>
      <c r="V117" s="49" t="s">
        <v>789</v>
      </c>
      <c r="W117" s="49">
        <v>0</v>
      </c>
      <c r="X117" s="50">
        <f t="shared" si="44"/>
        <v>0</v>
      </c>
      <c r="Y117" s="51" t="str">
        <f t="shared" si="45"/>
        <v>No</v>
      </c>
      <c r="Z117" s="49" t="s">
        <v>29</v>
      </c>
      <c r="AA117" s="49" t="s">
        <v>35</v>
      </c>
      <c r="AB117" s="49" t="s">
        <v>29</v>
      </c>
      <c r="AC117" s="46" t="s">
        <v>151</v>
      </c>
      <c r="AD117" s="46" t="s">
        <v>152</v>
      </c>
      <c r="AE117" s="46" t="s">
        <v>89</v>
      </c>
      <c r="AF117" s="46" t="s">
        <v>29</v>
      </c>
      <c r="AG117" s="103"/>
      <c r="AH117" s="52">
        <v>4838</v>
      </c>
      <c r="AI117" s="52">
        <v>4838</v>
      </c>
      <c r="AJ117" s="102">
        <v>99.32</v>
      </c>
      <c r="AK117" s="104">
        <v>198.64</v>
      </c>
      <c r="AL117" s="102">
        <v>99.32</v>
      </c>
      <c r="AM117" s="102"/>
      <c r="AN117" s="53">
        <f t="shared" si="46"/>
        <v>198.64</v>
      </c>
      <c r="AO117" s="53"/>
      <c r="AP117" s="102"/>
      <c r="AQ117" s="102"/>
      <c r="AR117" s="102"/>
      <c r="AS117" s="102"/>
      <c r="AT117" s="102"/>
      <c r="AU117" s="102"/>
      <c r="AV117" s="102"/>
      <c r="AW117" s="102"/>
      <c r="AX117" s="102"/>
      <c r="AY117" s="102"/>
      <c r="AZ117" s="102"/>
      <c r="BA117" s="102"/>
      <c r="BB117" s="102"/>
      <c r="BC117" s="102"/>
      <c r="BD117" s="102"/>
      <c r="BE117" s="102"/>
      <c r="BF117" s="102"/>
      <c r="BG117" s="102"/>
      <c r="BH117" s="102"/>
      <c r="BI117" s="102"/>
      <c r="BJ117" s="102"/>
      <c r="BK117" s="102"/>
      <c r="BL117" s="102"/>
      <c r="BM117" s="102"/>
      <c r="BN117" s="102"/>
      <c r="BO117" s="102"/>
      <c r="BP117" s="102"/>
      <c r="BQ117" s="102"/>
      <c r="BR117" s="102"/>
      <c r="BS117" s="54"/>
      <c r="BT117" s="45"/>
      <c r="BU117" s="45"/>
      <c r="BV117" s="45"/>
      <c r="BW117" s="55">
        <v>89.089574850866398</v>
      </c>
      <c r="BX117" s="55"/>
      <c r="BY117" s="55">
        <v>90.319574850866388</v>
      </c>
      <c r="BZ117" s="55"/>
      <c r="CA117" s="45">
        <v>2004</v>
      </c>
      <c r="CB117" s="55">
        <f t="shared" si="47"/>
        <v>19.152810768012667</v>
      </c>
      <c r="CC117" s="46" t="s">
        <v>150</v>
      </c>
      <c r="CD117" s="46" t="s">
        <v>151</v>
      </c>
      <c r="CE117" s="46" t="s">
        <v>783</v>
      </c>
      <c r="CF117" s="46">
        <v>2</v>
      </c>
      <c r="CG117" s="46" t="str">
        <f t="shared" si="48"/>
        <v>Yes</v>
      </c>
      <c r="CH117" s="46" t="s">
        <v>29</v>
      </c>
      <c r="CI117" s="56">
        <v>300</v>
      </c>
      <c r="CJ117" s="46">
        <v>50</v>
      </c>
      <c r="CK117" s="46" t="s">
        <v>23</v>
      </c>
      <c r="CL117" s="49" t="s">
        <v>29</v>
      </c>
      <c r="CM117" s="102">
        <v>0</v>
      </c>
      <c r="CN117" s="102"/>
      <c r="CO117" s="102"/>
      <c r="CP117" s="46" t="s">
        <v>23</v>
      </c>
      <c r="CQ117" s="46" t="s">
        <v>24</v>
      </c>
      <c r="CR117" s="46">
        <v>7</v>
      </c>
      <c r="CS117" s="46" t="s">
        <v>855</v>
      </c>
      <c r="CT117" s="46" t="s">
        <v>856</v>
      </c>
      <c r="CU117" s="46" t="s">
        <v>74</v>
      </c>
      <c r="CV117" s="46">
        <v>2</v>
      </c>
      <c r="CW117" s="46" t="s">
        <v>23</v>
      </c>
      <c r="CX117" s="49" t="s">
        <v>743</v>
      </c>
      <c r="CY117" s="49" t="s">
        <v>36</v>
      </c>
      <c r="CZ117" s="49">
        <v>0</v>
      </c>
      <c r="DA117" s="49">
        <v>1</v>
      </c>
      <c r="DB117" s="64">
        <v>25260</v>
      </c>
      <c r="DC117" s="58">
        <v>24.990000000000002</v>
      </c>
      <c r="DD117" s="58">
        <v>31.319999999999997</v>
      </c>
      <c r="DE117" s="58">
        <v>20.119999999999997</v>
      </c>
      <c r="DF117" s="58">
        <v>18.02</v>
      </c>
      <c r="DG117" s="58">
        <v>7.3713380839271574</v>
      </c>
      <c r="DH117" s="58">
        <v>75.010000000000005</v>
      </c>
      <c r="DI117" s="45" t="s">
        <v>35</v>
      </c>
      <c r="DJ117" s="59" t="str">
        <f t="shared" si="49"/>
        <v>No single majority group</v>
      </c>
      <c r="DK117" s="65">
        <v>25260</v>
      </c>
      <c r="DL117" s="58">
        <v>24.990000000000002</v>
      </c>
      <c r="DM117" s="58">
        <v>31.319999999999997</v>
      </c>
      <c r="DN117" s="58">
        <v>20.119999999999997</v>
      </c>
      <c r="DO117" s="58">
        <v>75.010000000000005</v>
      </c>
      <c r="DP117" s="66">
        <v>51.7</v>
      </c>
      <c r="DQ117" s="67">
        <v>55066.55</v>
      </c>
      <c r="DR117" s="53">
        <v>19.399999999999999</v>
      </c>
      <c r="DS117" s="58">
        <v>69.099999999999994</v>
      </c>
      <c r="DT117" s="53">
        <v>41.4</v>
      </c>
      <c r="DU117" s="55">
        <v>2.6</v>
      </c>
      <c r="DV117" s="50">
        <v>33.299999999999997</v>
      </c>
      <c r="DW117" s="53">
        <v>73.900000000000006</v>
      </c>
      <c r="DX117" s="53">
        <v>85.620599999999996</v>
      </c>
      <c r="DY117" s="53">
        <v>42.246299999999998</v>
      </c>
      <c r="DZ117" s="63"/>
    </row>
    <row r="118" spans="1:130" s="5" customFormat="1" ht="14.25" hidden="1" customHeight="1">
      <c r="A118" s="45">
        <v>1136</v>
      </c>
      <c r="B118" s="46" t="s">
        <v>110</v>
      </c>
      <c r="C118" s="47">
        <v>2004</v>
      </c>
      <c r="D118" s="47" t="s">
        <v>141</v>
      </c>
      <c r="E118" s="46" t="s">
        <v>83</v>
      </c>
      <c r="F118" s="46">
        <v>4</v>
      </c>
      <c r="G118" s="48">
        <v>10000</v>
      </c>
      <c r="H118" s="46" t="s">
        <v>332</v>
      </c>
      <c r="I118" s="46">
        <v>1</v>
      </c>
      <c r="J118" s="46">
        <v>2</v>
      </c>
      <c r="K118" s="49" t="s">
        <v>159</v>
      </c>
      <c r="L118" s="49" t="s">
        <v>40</v>
      </c>
      <c r="M118" s="49" t="s">
        <v>35</v>
      </c>
      <c r="N118" s="49"/>
      <c r="O118" s="49"/>
      <c r="P118" s="49" t="s">
        <v>201</v>
      </c>
      <c r="Q118" s="49" t="s">
        <v>35</v>
      </c>
      <c r="R118" s="49">
        <v>1</v>
      </c>
      <c r="S118" s="50">
        <f t="shared" si="42"/>
        <v>50</v>
      </c>
      <c r="T118" s="49">
        <v>1</v>
      </c>
      <c r="U118" s="50">
        <f t="shared" si="43"/>
        <v>50</v>
      </c>
      <c r="V118" s="49" t="s">
        <v>858</v>
      </c>
      <c r="W118" s="49">
        <v>1</v>
      </c>
      <c r="X118" s="50">
        <f t="shared" si="44"/>
        <v>50</v>
      </c>
      <c r="Y118" s="51" t="str">
        <f t="shared" si="45"/>
        <v>Yes</v>
      </c>
      <c r="Z118" s="45"/>
      <c r="AA118" s="45"/>
      <c r="AB118" s="45"/>
      <c r="AC118" s="46" t="s">
        <v>151</v>
      </c>
      <c r="AD118" s="46" t="s">
        <v>152</v>
      </c>
      <c r="AE118" s="46" t="s">
        <v>89</v>
      </c>
      <c r="AF118" s="46" t="s">
        <v>29</v>
      </c>
      <c r="AG118" s="103"/>
      <c r="AH118" s="52">
        <v>7472</v>
      </c>
      <c r="AI118" s="52">
        <v>7472</v>
      </c>
      <c r="AJ118" s="102">
        <v>56.34</v>
      </c>
      <c r="AK118" s="104">
        <v>112.68</v>
      </c>
      <c r="AL118" s="102">
        <v>56.34</v>
      </c>
      <c r="AM118" s="102"/>
      <c r="AN118" s="53">
        <f t="shared" si="46"/>
        <v>112.68</v>
      </c>
      <c r="AO118" s="53"/>
      <c r="AP118" s="102"/>
      <c r="AQ118" s="102"/>
      <c r="AR118" s="102"/>
      <c r="AS118" s="102"/>
      <c r="AT118" s="102"/>
      <c r="AU118" s="102"/>
      <c r="AV118" s="50"/>
      <c r="AW118" s="50"/>
      <c r="AX118" s="102"/>
      <c r="AY118" s="102"/>
      <c r="AZ118" s="102"/>
      <c r="BA118" s="102"/>
      <c r="BB118" s="102"/>
      <c r="BC118" s="102"/>
      <c r="BD118" s="102"/>
      <c r="BE118" s="102"/>
      <c r="BF118" s="102"/>
      <c r="BG118" s="102"/>
      <c r="BH118" s="102"/>
      <c r="BI118" s="102"/>
      <c r="BJ118" s="50"/>
      <c r="BK118" s="50"/>
      <c r="BL118" s="50"/>
      <c r="BM118" s="50"/>
      <c r="BN118" s="102"/>
      <c r="BO118" s="102"/>
      <c r="BP118" s="102"/>
      <c r="BQ118" s="102"/>
      <c r="BR118" s="102"/>
      <c r="BS118" s="54"/>
      <c r="BT118" s="45"/>
      <c r="BU118" s="45"/>
      <c r="BV118" s="45"/>
      <c r="BW118" s="55">
        <v>89.089574850866398</v>
      </c>
      <c r="BX118" s="55"/>
      <c r="BY118" s="55">
        <v>90.319574850866388</v>
      </c>
      <c r="BZ118" s="55"/>
      <c r="CA118" s="45">
        <v>2004</v>
      </c>
      <c r="CB118" s="55">
        <f t="shared" si="47"/>
        <v>24.2621034516349</v>
      </c>
      <c r="CC118" s="46" t="s">
        <v>150</v>
      </c>
      <c r="CD118" s="46" t="s">
        <v>151</v>
      </c>
      <c r="CE118" s="46" t="s">
        <v>783</v>
      </c>
      <c r="CF118" s="46">
        <v>2</v>
      </c>
      <c r="CG118" s="46" t="str">
        <f t="shared" si="48"/>
        <v>Yes</v>
      </c>
      <c r="CH118" s="46" t="s">
        <v>29</v>
      </c>
      <c r="CI118" s="56">
        <v>300</v>
      </c>
      <c r="CJ118" s="46">
        <v>50</v>
      </c>
      <c r="CK118" s="46" t="s">
        <v>23</v>
      </c>
      <c r="CL118" s="49" t="s">
        <v>29</v>
      </c>
      <c r="CM118" s="50">
        <v>0</v>
      </c>
      <c r="CN118" s="50"/>
      <c r="CO118" s="50"/>
      <c r="CP118" s="46" t="s">
        <v>23</v>
      </c>
      <c r="CQ118" s="46" t="s">
        <v>24</v>
      </c>
      <c r="CR118" s="46">
        <v>7</v>
      </c>
      <c r="CS118" s="46" t="s">
        <v>855</v>
      </c>
      <c r="CT118" s="46" t="s">
        <v>856</v>
      </c>
      <c r="CU118" s="46" t="s">
        <v>74</v>
      </c>
      <c r="CV118" s="46">
        <v>2</v>
      </c>
      <c r="CW118" s="46" t="s">
        <v>23</v>
      </c>
      <c r="CX118" s="49" t="s">
        <v>743</v>
      </c>
      <c r="CY118" s="49" t="s">
        <v>36</v>
      </c>
      <c r="CZ118" s="49">
        <v>0</v>
      </c>
      <c r="DA118" s="49">
        <v>1</v>
      </c>
      <c r="DB118" s="64">
        <v>30797</v>
      </c>
      <c r="DC118" s="58">
        <v>10.67</v>
      </c>
      <c r="DD118" s="58">
        <v>70.45</v>
      </c>
      <c r="DE118" s="58">
        <v>12.01</v>
      </c>
      <c r="DF118" s="58">
        <v>2.94</v>
      </c>
      <c r="DG118" s="58">
        <v>4.9063220443549698</v>
      </c>
      <c r="DH118" s="58">
        <v>89.33</v>
      </c>
      <c r="DI118" s="45" t="s">
        <v>35</v>
      </c>
      <c r="DJ118" s="59" t="str">
        <f t="shared" si="49"/>
        <v>African American</v>
      </c>
      <c r="DK118" s="65">
        <v>30797</v>
      </c>
      <c r="DL118" s="58">
        <v>10.67</v>
      </c>
      <c r="DM118" s="58">
        <v>70.45</v>
      </c>
      <c r="DN118" s="58">
        <v>12.01</v>
      </c>
      <c r="DO118" s="58">
        <v>89.33</v>
      </c>
      <c r="DP118" s="66">
        <v>51.7</v>
      </c>
      <c r="DQ118" s="67">
        <v>55066.55</v>
      </c>
      <c r="DR118" s="53">
        <v>19.399999999999999</v>
      </c>
      <c r="DS118" s="58">
        <v>69.099999999999994</v>
      </c>
      <c r="DT118" s="53">
        <v>41.4</v>
      </c>
      <c r="DU118" s="55">
        <v>2.6</v>
      </c>
      <c r="DV118" s="50">
        <v>33.299999999999997</v>
      </c>
      <c r="DW118" s="53">
        <v>73.900000000000006</v>
      </c>
      <c r="DX118" s="53">
        <v>85.620599999999996</v>
      </c>
      <c r="DY118" s="53">
        <v>42.246299999999998</v>
      </c>
      <c r="DZ118" s="63"/>
    </row>
    <row r="119" spans="1:130" s="5" customFormat="1" ht="14.25" hidden="1" customHeight="1">
      <c r="A119" s="45">
        <v>1126</v>
      </c>
      <c r="B119" s="46" t="s">
        <v>110</v>
      </c>
      <c r="C119" s="47">
        <v>2005</v>
      </c>
      <c r="D119" s="47" t="s">
        <v>91</v>
      </c>
      <c r="E119" s="46" t="s">
        <v>92</v>
      </c>
      <c r="F119" s="46">
        <v>1</v>
      </c>
      <c r="G119" s="48">
        <v>82204</v>
      </c>
      <c r="H119" s="46" t="s">
        <v>249</v>
      </c>
      <c r="I119" s="46">
        <v>1</v>
      </c>
      <c r="J119" s="46">
        <v>9</v>
      </c>
      <c r="K119" s="49" t="s">
        <v>146</v>
      </c>
      <c r="L119" s="49" t="s">
        <v>40</v>
      </c>
      <c r="M119" s="49" t="s">
        <v>35</v>
      </c>
      <c r="N119" s="49" t="s">
        <v>512</v>
      </c>
      <c r="O119" s="49"/>
      <c r="P119" s="49" t="s">
        <v>31</v>
      </c>
      <c r="Q119" s="49" t="s">
        <v>29</v>
      </c>
      <c r="R119" s="49">
        <v>4</v>
      </c>
      <c r="S119" s="50">
        <f t="shared" si="42"/>
        <v>44.444444444444443</v>
      </c>
      <c r="T119" s="49">
        <v>5</v>
      </c>
      <c r="U119" s="50">
        <f t="shared" si="43"/>
        <v>55.555555555555557</v>
      </c>
      <c r="V119" s="49" t="s">
        <v>868</v>
      </c>
      <c r="W119" s="49">
        <v>3</v>
      </c>
      <c r="X119" s="50">
        <f t="shared" si="44"/>
        <v>33.333333333333329</v>
      </c>
      <c r="Y119" s="51" t="str">
        <f t="shared" si="45"/>
        <v>No</v>
      </c>
      <c r="Z119" s="49" t="s">
        <v>35</v>
      </c>
      <c r="AA119" s="49" t="s">
        <v>23</v>
      </c>
      <c r="AB119" s="49" t="s">
        <v>23</v>
      </c>
      <c r="AC119" s="46" t="s">
        <v>162</v>
      </c>
      <c r="AD119" s="46" t="s">
        <v>163</v>
      </c>
      <c r="AE119" s="46" t="s">
        <v>164</v>
      </c>
      <c r="AF119" s="46" t="s">
        <v>35</v>
      </c>
      <c r="AG119" s="103"/>
      <c r="AH119" s="52">
        <v>8868</v>
      </c>
      <c r="AI119" s="52">
        <v>8868</v>
      </c>
      <c r="AJ119" s="102">
        <v>28.77</v>
      </c>
      <c r="AK119" s="104">
        <v>57.54</v>
      </c>
      <c r="AL119" s="102">
        <v>28.77</v>
      </c>
      <c r="AM119" s="102"/>
      <c r="AN119" s="53">
        <f t="shared" si="46"/>
        <v>57.54</v>
      </c>
      <c r="AO119" s="53">
        <v>21.15</v>
      </c>
      <c r="AP119" s="102"/>
      <c r="AQ119" s="102"/>
      <c r="AR119" s="102"/>
      <c r="AS119" s="102"/>
      <c r="AT119" s="102"/>
      <c r="AU119" s="102"/>
      <c r="AV119" s="50"/>
      <c r="AW119" s="50"/>
      <c r="AX119" s="102"/>
      <c r="AY119" s="102"/>
      <c r="AZ119" s="102"/>
      <c r="BA119" s="102"/>
      <c r="BB119" s="102"/>
      <c r="BC119" s="102"/>
      <c r="BD119" s="102"/>
      <c r="BE119" s="102"/>
      <c r="BF119" s="102"/>
      <c r="BG119" s="102"/>
      <c r="BH119" s="102"/>
      <c r="BI119" s="102"/>
      <c r="BJ119" s="50"/>
      <c r="BK119" s="50"/>
      <c r="BL119" s="50"/>
      <c r="BM119" s="50"/>
      <c r="BN119" s="102"/>
      <c r="BO119" s="102"/>
      <c r="BP119" s="102"/>
      <c r="BQ119" s="102"/>
      <c r="BR119" s="102"/>
      <c r="BS119" s="54" t="s">
        <v>23</v>
      </c>
      <c r="BT119" s="45" t="str">
        <f t="shared" ref="BT119:BT124" si="53">IF(J119=I119, "No", IF(AJ119/AO119&lt;2, "Yes", "No"))</f>
        <v>Yes</v>
      </c>
      <c r="BU119" s="45" t="str">
        <f t="shared" ref="BU119:BU124" si="54">IF(J119=I119, "No", IF(AJ119/AO119&lt;1.5, "Yes", "No"))</f>
        <v>Yes</v>
      </c>
      <c r="BV119" s="45" t="str">
        <f t="shared" ref="BV119:BV124" si="55">IF(J119=I119, "No", IF((ABS(AJ119-AO119))&lt;(5/I119), "Yes", "No"))</f>
        <v>No</v>
      </c>
      <c r="BW119" s="55">
        <v>89.089574850866398</v>
      </c>
      <c r="BX119" s="55"/>
      <c r="BY119" s="55">
        <v>90.319574850866388</v>
      </c>
      <c r="BZ119" s="55"/>
      <c r="CA119" s="45">
        <v>2004</v>
      </c>
      <c r="CB119" s="55">
        <f t="shared" si="47"/>
        <v>24.817395684661236</v>
      </c>
      <c r="CC119" s="46" t="s">
        <v>39</v>
      </c>
      <c r="CD119" s="46" t="s">
        <v>179</v>
      </c>
      <c r="CE119" s="46" t="s">
        <v>179</v>
      </c>
      <c r="CF119" s="46">
        <v>1</v>
      </c>
      <c r="CG119" s="46" t="str">
        <f t="shared" si="48"/>
        <v>No</v>
      </c>
      <c r="CH119" s="46" t="s">
        <v>29</v>
      </c>
      <c r="CI119" s="56">
        <v>300</v>
      </c>
      <c r="CJ119" s="46">
        <v>50</v>
      </c>
      <c r="CK119" s="46" t="s">
        <v>23</v>
      </c>
      <c r="CL119" s="49" t="s">
        <v>35</v>
      </c>
      <c r="CM119" s="50">
        <f>(6/9)*100</f>
        <v>66.666666666666657</v>
      </c>
      <c r="CN119" s="50"/>
      <c r="CO119" s="50"/>
      <c r="CP119" s="46" t="s">
        <v>23</v>
      </c>
      <c r="CQ119" s="46" t="s">
        <v>24</v>
      </c>
      <c r="CR119" s="46">
        <v>7</v>
      </c>
      <c r="CS119" s="46" t="s">
        <v>855</v>
      </c>
      <c r="CT119" s="46" t="s">
        <v>856</v>
      </c>
      <c r="CU119" s="46" t="s">
        <v>74</v>
      </c>
      <c r="CV119" s="46">
        <v>2</v>
      </c>
      <c r="CW119" s="46" t="s">
        <v>23</v>
      </c>
      <c r="CX119" s="49" t="s">
        <v>743</v>
      </c>
      <c r="CY119" s="49" t="s">
        <v>36</v>
      </c>
      <c r="CZ119" s="49">
        <v>0</v>
      </c>
      <c r="DA119" s="49">
        <v>1</v>
      </c>
      <c r="DB119" s="64">
        <v>35733</v>
      </c>
      <c r="DC119" s="58">
        <v>37.35</v>
      </c>
      <c r="DD119" s="58">
        <v>19.580000000000002</v>
      </c>
      <c r="DE119" s="58">
        <v>9.1399999999999988</v>
      </c>
      <c r="DF119" s="58">
        <v>30.159999999999997</v>
      </c>
      <c r="DG119" s="58">
        <v>3.7892144516273469</v>
      </c>
      <c r="DH119" s="58">
        <v>62.650000000000006</v>
      </c>
      <c r="DI119" s="45" t="s">
        <v>35</v>
      </c>
      <c r="DJ119" s="59" t="str">
        <f t="shared" si="49"/>
        <v>No single majority group</v>
      </c>
      <c r="DK119" s="65">
        <v>35733</v>
      </c>
      <c r="DL119" s="58">
        <v>37.35</v>
      </c>
      <c r="DM119" s="58">
        <v>19.580000000000002</v>
      </c>
      <c r="DN119" s="58">
        <v>9.1399999999999988</v>
      </c>
      <c r="DO119" s="58">
        <v>62.650000000000006</v>
      </c>
      <c r="DP119" s="66">
        <v>53.2</v>
      </c>
      <c r="DQ119" s="67">
        <v>54837.14</v>
      </c>
      <c r="DR119" s="53">
        <v>17.5</v>
      </c>
      <c r="DS119" s="58">
        <v>69.099999999999994</v>
      </c>
      <c r="DT119" s="53">
        <v>42.6</v>
      </c>
      <c r="DU119" s="55">
        <v>2.5099999999999998</v>
      </c>
      <c r="DV119" s="50">
        <v>35.4</v>
      </c>
      <c r="DW119" s="53">
        <v>78.8</v>
      </c>
      <c r="DX119" s="53">
        <v>97.33</v>
      </c>
      <c r="DY119" s="53">
        <v>54.797499999999999</v>
      </c>
      <c r="DZ119" s="63"/>
    </row>
    <row r="120" spans="1:130" s="5" customFormat="1" ht="14.25" hidden="1" customHeight="1">
      <c r="A120" s="45">
        <v>1118</v>
      </c>
      <c r="B120" s="46" t="s">
        <v>110</v>
      </c>
      <c r="C120" s="47">
        <v>2006</v>
      </c>
      <c r="D120" s="47" t="s">
        <v>160</v>
      </c>
      <c r="E120" s="46" t="s">
        <v>22</v>
      </c>
      <c r="F120" s="46">
        <v>4</v>
      </c>
      <c r="G120" s="48">
        <v>151741</v>
      </c>
      <c r="H120" s="46" t="s">
        <v>249</v>
      </c>
      <c r="I120" s="46">
        <v>1</v>
      </c>
      <c r="J120" s="46">
        <v>4</v>
      </c>
      <c r="K120" s="49" t="s">
        <v>143</v>
      </c>
      <c r="L120" s="49" t="s">
        <v>40</v>
      </c>
      <c r="M120" s="49" t="s">
        <v>35</v>
      </c>
      <c r="N120" s="49" t="s">
        <v>618</v>
      </c>
      <c r="O120" s="49"/>
      <c r="P120" s="49" t="s">
        <v>31</v>
      </c>
      <c r="Q120" s="49" t="s">
        <v>29</v>
      </c>
      <c r="R120" s="49">
        <v>1</v>
      </c>
      <c r="S120" s="50">
        <f t="shared" si="42"/>
        <v>25</v>
      </c>
      <c r="T120" s="49">
        <v>0</v>
      </c>
      <c r="U120" s="50">
        <f t="shared" si="43"/>
        <v>0</v>
      </c>
      <c r="V120" s="45"/>
      <c r="W120" s="49">
        <v>0</v>
      </c>
      <c r="X120" s="50">
        <f t="shared" si="44"/>
        <v>0</v>
      </c>
      <c r="Y120" s="51" t="str">
        <f t="shared" si="45"/>
        <v>No</v>
      </c>
      <c r="Z120" s="49" t="s">
        <v>29</v>
      </c>
      <c r="AA120" s="49" t="s">
        <v>29</v>
      </c>
      <c r="AB120" s="49" t="s">
        <v>29</v>
      </c>
      <c r="AC120" s="71" t="s">
        <v>26</v>
      </c>
      <c r="AD120" s="46" t="s">
        <v>27</v>
      </c>
      <c r="AE120" s="46" t="s">
        <v>73</v>
      </c>
      <c r="AF120" s="46" t="s">
        <v>29</v>
      </c>
      <c r="AG120" s="103"/>
      <c r="AH120" s="52">
        <v>60170</v>
      </c>
      <c r="AI120" s="52">
        <v>80343</v>
      </c>
      <c r="AJ120" s="102">
        <v>39.19</v>
      </c>
      <c r="AK120" s="104">
        <v>78.38</v>
      </c>
      <c r="AL120" s="102">
        <v>65.78</v>
      </c>
      <c r="AM120" s="102"/>
      <c r="AN120" s="53">
        <f t="shared" si="46"/>
        <v>131.56</v>
      </c>
      <c r="AO120" s="53">
        <v>30.95</v>
      </c>
      <c r="AP120" s="102"/>
      <c r="AQ120" s="102"/>
      <c r="AR120" s="102"/>
      <c r="AS120" s="102"/>
      <c r="AT120" s="102"/>
      <c r="AU120" s="102"/>
      <c r="AV120" s="102"/>
      <c r="AW120" s="102"/>
      <c r="AX120" s="102"/>
      <c r="AY120" s="102"/>
      <c r="AZ120" s="102"/>
      <c r="BA120" s="102"/>
      <c r="BB120" s="102"/>
      <c r="BC120" s="102"/>
      <c r="BD120" s="102"/>
      <c r="BE120" s="102"/>
      <c r="BF120" s="102"/>
      <c r="BG120" s="102"/>
      <c r="BH120" s="102"/>
      <c r="BI120" s="102"/>
      <c r="BJ120" s="102"/>
      <c r="BK120" s="102"/>
      <c r="BL120" s="102"/>
      <c r="BM120" s="102"/>
      <c r="BN120" s="102"/>
      <c r="BO120" s="102"/>
      <c r="BP120" s="102"/>
      <c r="BQ120" s="102"/>
      <c r="BR120" s="102"/>
      <c r="BS120" s="54" t="s">
        <v>29</v>
      </c>
      <c r="BT120" s="45" t="str">
        <f t="shared" si="53"/>
        <v>Yes</v>
      </c>
      <c r="BU120" s="45" t="str">
        <f t="shared" si="54"/>
        <v>Yes</v>
      </c>
      <c r="BV120" s="45" t="str">
        <f t="shared" si="55"/>
        <v>No</v>
      </c>
      <c r="BW120" s="55">
        <v>89.089574850866398</v>
      </c>
      <c r="BX120" s="55">
        <v>89.089574850866398</v>
      </c>
      <c r="BY120" s="55">
        <v>90.319574850866388</v>
      </c>
      <c r="BZ120" s="55">
        <f>BX120-(-0.0246*100/2)</f>
        <v>90.319574850866402</v>
      </c>
      <c r="CA120" s="45">
        <v>2004</v>
      </c>
      <c r="CB120" s="55">
        <f t="shared" si="47"/>
        <v>32.543340894361634</v>
      </c>
      <c r="CC120" s="46" t="s">
        <v>150</v>
      </c>
      <c r="CD120" s="46" t="s">
        <v>151</v>
      </c>
      <c r="CE120" s="46" t="s">
        <v>783</v>
      </c>
      <c r="CF120" s="46">
        <v>2</v>
      </c>
      <c r="CG120" s="46" t="str">
        <f t="shared" si="48"/>
        <v>Yes</v>
      </c>
      <c r="CH120" s="46" t="s">
        <v>29</v>
      </c>
      <c r="CI120" s="56">
        <v>300</v>
      </c>
      <c r="CJ120" s="46">
        <v>50</v>
      </c>
      <c r="CK120" s="46" t="s">
        <v>23</v>
      </c>
      <c r="CL120" s="49" t="s">
        <v>29</v>
      </c>
      <c r="CM120" s="50">
        <v>0</v>
      </c>
      <c r="CN120" s="50"/>
      <c r="CO120" s="50"/>
      <c r="CP120" s="46" t="s">
        <v>23</v>
      </c>
      <c r="CQ120" s="46" t="s">
        <v>23</v>
      </c>
      <c r="CR120" s="46">
        <v>7</v>
      </c>
      <c r="CS120" s="46" t="s">
        <v>855</v>
      </c>
      <c r="CT120" s="71" t="s">
        <v>53</v>
      </c>
      <c r="CU120" s="46" t="s">
        <v>74</v>
      </c>
      <c r="CV120" s="46">
        <v>1</v>
      </c>
      <c r="CW120" s="46" t="s">
        <v>23</v>
      </c>
      <c r="CX120" s="49" t="s">
        <v>744</v>
      </c>
      <c r="CY120" s="49" t="s">
        <v>36</v>
      </c>
      <c r="CZ120" s="49">
        <v>0</v>
      </c>
      <c r="DA120" s="49">
        <v>1</v>
      </c>
      <c r="DB120" s="64">
        <v>246880</v>
      </c>
      <c r="DC120" s="58">
        <v>35.79</v>
      </c>
      <c r="DD120" s="58">
        <v>34.65</v>
      </c>
      <c r="DE120" s="58">
        <v>11.04</v>
      </c>
      <c r="DF120" s="58">
        <v>14.89</v>
      </c>
      <c r="DG120" s="58">
        <v>3.63</v>
      </c>
      <c r="DH120" s="58">
        <v>64.209999999999994</v>
      </c>
      <c r="DI120" s="45" t="s">
        <v>35</v>
      </c>
      <c r="DJ120" s="59" t="str">
        <f t="shared" si="49"/>
        <v>No single majority group</v>
      </c>
      <c r="DK120" s="65">
        <v>246880</v>
      </c>
      <c r="DL120" s="58">
        <v>35.79</v>
      </c>
      <c r="DM120" s="58">
        <v>34.65</v>
      </c>
      <c r="DN120" s="58">
        <v>11.04</v>
      </c>
      <c r="DO120" s="58">
        <v>64.209999999999994</v>
      </c>
      <c r="DP120" s="66">
        <v>53.2</v>
      </c>
      <c r="DQ120" s="67">
        <v>54837.14</v>
      </c>
      <c r="DR120" s="53">
        <v>17.5</v>
      </c>
      <c r="DS120" s="58">
        <v>69.099999999999994</v>
      </c>
      <c r="DT120" s="53">
        <v>42.6</v>
      </c>
      <c r="DU120" s="105">
        <v>2.5099999999999998</v>
      </c>
      <c r="DV120" s="102">
        <v>35.4</v>
      </c>
      <c r="DW120" s="53">
        <v>78.8</v>
      </c>
      <c r="DX120" s="53">
        <v>97.33</v>
      </c>
      <c r="DY120" s="53">
        <v>54.797499999999999</v>
      </c>
      <c r="DZ120" s="63"/>
    </row>
    <row r="121" spans="1:130" s="5" customFormat="1" ht="14.25" hidden="1" customHeight="1">
      <c r="A121" s="45">
        <v>1120</v>
      </c>
      <c r="B121" s="46" t="s">
        <v>110</v>
      </c>
      <c r="C121" s="47">
        <v>2006</v>
      </c>
      <c r="D121" s="47" t="s">
        <v>91</v>
      </c>
      <c r="E121" s="71" t="s">
        <v>92</v>
      </c>
      <c r="F121" s="46">
        <v>4</v>
      </c>
      <c r="G121" s="48">
        <v>82204</v>
      </c>
      <c r="H121" s="46" t="s">
        <v>249</v>
      </c>
      <c r="I121" s="46">
        <v>1</v>
      </c>
      <c r="J121" s="46">
        <v>3</v>
      </c>
      <c r="K121" s="49" t="s">
        <v>146</v>
      </c>
      <c r="L121" s="49" t="s">
        <v>40</v>
      </c>
      <c r="M121" s="49" t="s">
        <v>35</v>
      </c>
      <c r="N121" s="49" t="s">
        <v>512</v>
      </c>
      <c r="O121" s="49"/>
      <c r="P121" s="49" t="s">
        <v>31</v>
      </c>
      <c r="Q121" s="49" t="s">
        <v>29</v>
      </c>
      <c r="R121" s="49">
        <v>3</v>
      </c>
      <c r="S121" s="50">
        <f t="shared" si="42"/>
        <v>100</v>
      </c>
      <c r="T121" s="49">
        <v>2</v>
      </c>
      <c r="U121" s="50">
        <f t="shared" si="43"/>
        <v>66.666666666666657</v>
      </c>
      <c r="V121" s="49" t="s">
        <v>172</v>
      </c>
      <c r="W121" s="49">
        <v>2</v>
      </c>
      <c r="X121" s="50">
        <f t="shared" si="44"/>
        <v>66.666666666666657</v>
      </c>
      <c r="Y121" s="51" t="str">
        <f t="shared" si="45"/>
        <v>No</v>
      </c>
      <c r="Z121" s="49" t="s">
        <v>35</v>
      </c>
      <c r="AA121" s="49" t="s">
        <v>23</v>
      </c>
      <c r="AB121" s="49" t="s">
        <v>23</v>
      </c>
      <c r="AC121" s="71" t="s">
        <v>26</v>
      </c>
      <c r="AD121" s="46" t="s">
        <v>27</v>
      </c>
      <c r="AE121" s="46" t="s">
        <v>73</v>
      </c>
      <c r="AF121" s="46" t="s">
        <v>29</v>
      </c>
      <c r="AG121" s="103"/>
      <c r="AH121" s="52">
        <v>10181</v>
      </c>
      <c r="AI121" s="52">
        <v>13060</v>
      </c>
      <c r="AJ121" s="102">
        <v>46.13</v>
      </c>
      <c r="AK121" s="104">
        <v>92.26</v>
      </c>
      <c r="AL121" s="102">
        <v>52.96</v>
      </c>
      <c r="AM121" s="102"/>
      <c r="AN121" s="53">
        <f t="shared" si="46"/>
        <v>105.92</v>
      </c>
      <c r="AO121" s="53">
        <v>39.31</v>
      </c>
      <c r="AP121" s="102"/>
      <c r="AQ121" s="102"/>
      <c r="AR121" s="102"/>
      <c r="AS121" s="102"/>
      <c r="AT121" s="102"/>
      <c r="AU121" s="102"/>
      <c r="AV121" s="102"/>
      <c r="AW121" s="102"/>
      <c r="AX121" s="102"/>
      <c r="AY121" s="102"/>
      <c r="AZ121" s="102"/>
      <c r="BA121" s="102"/>
      <c r="BB121" s="102"/>
      <c r="BC121" s="102"/>
      <c r="BD121" s="102"/>
      <c r="BE121" s="102"/>
      <c r="BF121" s="102"/>
      <c r="BG121" s="102"/>
      <c r="BH121" s="102"/>
      <c r="BI121" s="102"/>
      <c r="BJ121" s="102"/>
      <c r="BK121" s="102"/>
      <c r="BL121" s="102"/>
      <c r="BM121" s="102"/>
      <c r="BN121" s="102"/>
      <c r="BO121" s="102"/>
      <c r="BP121" s="102"/>
      <c r="BQ121" s="102"/>
      <c r="BR121" s="102"/>
      <c r="BS121" s="54" t="s">
        <v>29</v>
      </c>
      <c r="BT121" s="45" t="str">
        <f t="shared" si="53"/>
        <v>Yes</v>
      </c>
      <c r="BU121" s="45" t="str">
        <f t="shared" si="54"/>
        <v>Yes</v>
      </c>
      <c r="BV121" s="45" t="str">
        <f t="shared" si="55"/>
        <v>No</v>
      </c>
      <c r="BW121" s="55">
        <v>89.089574850866398</v>
      </c>
      <c r="BX121" s="55"/>
      <c r="BY121" s="55">
        <v>90.319574850866402</v>
      </c>
      <c r="BZ121" s="55"/>
      <c r="CA121" s="45">
        <v>2004</v>
      </c>
      <c r="CB121" s="55">
        <f t="shared" si="47"/>
        <v>36.548848403436601</v>
      </c>
      <c r="CC121" s="46" t="s">
        <v>150</v>
      </c>
      <c r="CD121" s="46" t="s">
        <v>151</v>
      </c>
      <c r="CE121" s="46" t="s">
        <v>783</v>
      </c>
      <c r="CF121" s="46">
        <v>2</v>
      </c>
      <c r="CG121" s="46" t="str">
        <f t="shared" si="48"/>
        <v>Yes</v>
      </c>
      <c r="CH121" s="46" t="s">
        <v>29</v>
      </c>
      <c r="CI121" s="56">
        <v>300</v>
      </c>
      <c r="CJ121" s="46">
        <v>50</v>
      </c>
      <c r="CK121" s="46" t="s">
        <v>23</v>
      </c>
      <c r="CL121" s="49" t="s">
        <v>35</v>
      </c>
      <c r="CM121" s="102">
        <f>(1/3)*100</f>
        <v>33.333333333333329</v>
      </c>
      <c r="CN121" s="102"/>
      <c r="CO121" s="102"/>
      <c r="CP121" s="46" t="s">
        <v>23</v>
      </c>
      <c r="CQ121" s="46" t="s">
        <v>24</v>
      </c>
      <c r="CR121" s="46">
        <v>7</v>
      </c>
      <c r="CS121" s="46" t="s">
        <v>855</v>
      </c>
      <c r="CT121" s="46" t="s">
        <v>856</v>
      </c>
      <c r="CU121" s="46" t="s">
        <v>74</v>
      </c>
      <c r="CV121" s="46">
        <v>1</v>
      </c>
      <c r="CW121" s="46" t="s">
        <v>23</v>
      </c>
      <c r="CX121" s="49" t="s">
        <v>744</v>
      </c>
      <c r="CY121" s="49" t="s">
        <v>36</v>
      </c>
      <c r="CZ121" s="49">
        <v>0</v>
      </c>
      <c r="DA121" s="49">
        <v>1</v>
      </c>
      <c r="DB121" s="64">
        <v>35733</v>
      </c>
      <c r="DC121" s="58">
        <v>37.35</v>
      </c>
      <c r="DD121" s="58">
        <v>19.580000000000002</v>
      </c>
      <c r="DE121" s="58">
        <v>9.1399999999999988</v>
      </c>
      <c r="DF121" s="58">
        <v>30.159999999999997</v>
      </c>
      <c r="DG121" s="58">
        <v>3.7892144516273469</v>
      </c>
      <c r="DH121" s="58">
        <v>62.650000000000006</v>
      </c>
      <c r="DI121" s="45" t="s">
        <v>35</v>
      </c>
      <c r="DJ121" s="59" t="str">
        <f t="shared" si="49"/>
        <v>No single majority group</v>
      </c>
      <c r="DK121" s="65">
        <v>35733</v>
      </c>
      <c r="DL121" s="58">
        <v>37.35</v>
      </c>
      <c r="DM121" s="58">
        <v>19.580000000000002</v>
      </c>
      <c r="DN121" s="58">
        <v>9.1399999999999988</v>
      </c>
      <c r="DO121" s="58">
        <v>62.650000000000006</v>
      </c>
      <c r="DP121" s="66">
        <v>53.2</v>
      </c>
      <c r="DQ121" s="67">
        <v>54837.14</v>
      </c>
      <c r="DR121" s="53">
        <v>17.5</v>
      </c>
      <c r="DS121" s="58">
        <v>69.099999999999994</v>
      </c>
      <c r="DT121" s="53">
        <v>42.6</v>
      </c>
      <c r="DU121" s="105">
        <v>2.5099999999999998</v>
      </c>
      <c r="DV121" s="102">
        <v>35.4</v>
      </c>
      <c r="DW121" s="53">
        <v>78.8</v>
      </c>
      <c r="DX121" s="53">
        <v>97.33</v>
      </c>
      <c r="DY121" s="53">
        <v>54.797499999999999</v>
      </c>
      <c r="DZ121" s="63"/>
    </row>
    <row r="122" spans="1:130" s="5" customFormat="1" ht="14.25" hidden="1" customHeight="1">
      <c r="A122" s="45">
        <v>1122</v>
      </c>
      <c r="B122" s="46" t="s">
        <v>110</v>
      </c>
      <c r="C122" s="47">
        <v>2006</v>
      </c>
      <c r="D122" s="47" t="s">
        <v>79</v>
      </c>
      <c r="E122" s="71" t="s">
        <v>80</v>
      </c>
      <c r="F122" s="46">
        <v>4</v>
      </c>
      <c r="G122" s="48">
        <v>82204</v>
      </c>
      <c r="H122" s="46" t="s">
        <v>249</v>
      </c>
      <c r="I122" s="46">
        <v>1</v>
      </c>
      <c r="J122" s="46">
        <v>1</v>
      </c>
      <c r="K122" s="49" t="s">
        <v>145</v>
      </c>
      <c r="L122" s="49" t="s">
        <v>40</v>
      </c>
      <c r="M122" s="49" t="s">
        <v>35</v>
      </c>
      <c r="N122" s="49" t="s">
        <v>513</v>
      </c>
      <c r="O122" s="49"/>
      <c r="P122" s="49" t="s">
        <v>34</v>
      </c>
      <c r="Q122" s="49" t="s">
        <v>35</v>
      </c>
      <c r="R122" s="49">
        <v>1</v>
      </c>
      <c r="S122" s="50">
        <f t="shared" si="42"/>
        <v>100</v>
      </c>
      <c r="T122" s="49">
        <v>1</v>
      </c>
      <c r="U122" s="50">
        <f t="shared" si="43"/>
        <v>100</v>
      </c>
      <c r="V122" s="49" t="s">
        <v>173</v>
      </c>
      <c r="W122" s="49">
        <v>1</v>
      </c>
      <c r="X122" s="50">
        <f t="shared" si="44"/>
        <v>100</v>
      </c>
      <c r="Y122" s="51" t="str">
        <f t="shared" si="45"/>
        <v>Yes</v>
      </c>
      <c r="Z122" s="49" t="s">
        <v>29</v>
      </c>
      <c r="AA122" s="49" t="s">
        <v>35</v>
      </c>
      <c r="AB122" s="45" t="s">
        <v>35</v>
      </c>
      <c r="AC122" s="46" t="s">
        <v>151</v>
      </c>
      <c r="AD122" s="46" t="s">
        <v>152</v>
      </c>
      <c r="AE122" s="46" t="s">
        <v>73</v>
      </c>
      <c r="AF122" s="46" t="s">
        <v>29</v>
      </c>
      <c r="AG122" s="103"/>
      <c r="AH122" s="52">
        <v>13198</v>
      </c>
      <c r="AI122" s="52">
        <v>13198</v>
      </c>
      <c r="AJ122" s="102">
        <v>97.93</v>
      </c>
      <c r="AK122" s="104">
        <v>195.86</v>
      </c>
      <c r="AL122" s="102">
        <v>97.93</v>
      </c>
      <c r="AM122" s="102"/>
      <c r="AN122" s="53">
        <f t="shared" si="46"/>
        <v>195.86</v>
      </c>
      <c r="AO122" s="53" t="s">
        <v>23</v>
      </c>
      <c r="AP122" s="102"/>
      <c r="AQ122" s="102"/>
      <c r="AR122" s="102"/>
      <c r="AS122" s="102"/>
      <c r="AT122" s="102"/>
      <c r="AU122" s="102"/>
      <c r="AV122" s="50"/>
      <c r="AW122" s="50"/>
      <c r="AX122" s="102"/>
      <c r="AY122" s="102"/>
      <c r="AZ122" s="102"/>
      <c r="BA122" s="102"/>
      <c r="BB122" s="102"/>
      <c r="BC122" s="102"/>
      <c r="BD122" s="102"/>
      <c r="BE122" s="102"/>
      <c r="BF122" s="102"/>
      <c r="BG122" s="102"/>
      <c r="BH122" s="102"/>
      <c r="BI122" s="102"/>
      <c r="BJ122" s="50"/>
      <c r="BK122" s="50"/>
      <c r="BL122" s="50"/>
      <c r="BM122" s="50"/>
      <c r="BN122" s="102"/>
      <c r="BO122" s="50"/>
      <c r="BP122" s="50"/>
      <c r="BQ122" s="50"/>
      <c r="BR122" s="102"/>
      <c r="BS122" s="54" t="s">
        <v>23</v>
      </c>
      <c r="BT122" s="45" t="str">
        <f t="shared" si="53"/>
        <v>No</v>
      </c>
      <c r="BU122" s="45" t="str">
        <f t="shared" si="54"/>
        <v>No</v>
      </c>
      <c r="BV122" s="45" t="str">
        <f t="shared" si="55"/>
        <v>No</v>
      </c>
      <c r="BW122" s="55">
        <v>89.089574850866398</v>
      </c>
      <c r="BX122" s="55"/>
      <c r="BY122" s="55">
        <v>90.319574850866402</v>
      </c>
      <c r="BZ122" s="55"/>
      <c r="CA122" s="45">
        <v>2004</v>
      </c>
      <c r="CB122" s="55">
        <f t="shared" si="47"/>
        <v>32.712040846676246</v>
      </c>
      <c r="CC122" s="46" t="s">
        <v>150</v>
      </c>
      <c r="CD122" s="46" t="s">
        <v>151</v>
      </c>
      <c r="CE122" s="46" t="s">
        <v>783</v>
      </c>
      <c r="CF122" s="46">
        <v>2</v>
      </c>
      <c r="CG122" s="46" t="str">
        <f t="shared" si="48"/>
        <v>Yes</v>
      </c>
      <c r="CH122" s="46" t="s">
        <v>29</v>
      </c>
      <c r="CI122" s="56">
        <v>300</v>
      </c>
      <c r="CJ122" s="46">
        <v>50</v>
      </c>
      <c r="CK122" s="46" t="s">
        <v>23</v>
      </c>
      <c r="CL122" s="49" t="s">
        <v>35</v>
      </c>
      <c r="CM122" s="50">
        <v>0</v>
      </c>
      <c r="CN122" s="50"/>
      <c r="CO122" s="50"/>
      <c r="CP122" s="46" t="s">
        <v>23</v>
      </c>
      <c r="CQ122" s="46" t="s">
        <v>24</v>
      </c>
      <c r="CR122" s="46">
        <v>7</v>
      </c>
      <c r="CS122" s="46" t="s">
        <v>855</v>
      </c>
      <c r="CT122" s="46" t="s">
        <v>856</v>
      </c>
      <c r="CU122" s="46" t="s">
        <v>74</v>
      </c>
      <c r="CV122" s="46">
        <v>1</v>
      </c>
      <c r="CW122" s="46" t="s">
        <v>23</v>
      </c>
      <c r="CX122" s="49" t="s">
        <v>744</v>
      </c>
      <c r="CY122" s="49" t="s">
        <v>36</v>
      </c>
      <c r="CZ122" s="49">
        <v>0</v>
      </c>
      <c r="DA122" s="49">
        <v>1</v>
      </c>
      <c r="DB122" s="64">
        <v>40346</v>
      </c>
      <c r="DC122" s="58">
        <v>49.01</v>
      </c>
      <c r="DD122" s="58">
        <v>22.38</v>
      </c>
      <c r="DE122" s="58">
        <v>8.3800000000000008</v>
      </c>
      <c r="DF122" s="58">
        <v>18.16</v>
      </c>
      <c r="DG122" s="58">
        <v>2.7834233876964256</v>
      </c>
      <c r="DH122" s="58">
        <v>50.99</v>
      </c>
      <c r="DI122" s="45" t="s">
        <v>35</v>
      </c>
      <c r="DJ122" s="59" t="str">
        <f t="shared" si="49"/>
        <v>No single majority group</v>
      </c>
      <c r="DK122" s="65">
        <v>40346</v>
      </c>
      <c r="DL122" s="58">
        <v>49.01</v>
      </c>
      <c r="DM122" s="58">
        <v>22.38</v>
      </c>
      <c r="DN122" s="58">
        <v>8.3800000000000008</v>
      </c>
      <c r="DO122" s="58">
        <v>50.99</v>
      </c>
      <c r="DP122" s="66">
        <v>53.2</v>
      </c>
      <c r="DQ122" s="67">
        <v>54837.14</v>
      </c>
      <c r="DR122" s="53">
        <v>17.5</v>
      </c>
      <c r="DS122" s="58">
        <v>69.099999999999994</v>
      </c>
      <c r="DT122" s="53">
        <v>42.6</v>
      </c>
      <c r="DU122" s="55">
        <v>2.5099999999999998</v>
      </c>
      <c r="DV122" s="50">
        <v>35.4</v>
      </c>
      <c r="DW122" s="53">
        <v>78.8</v>
      </c>
      <c r="DX122" s="53">
        <v>97.33</v>
      </c>
      <c r="DY122" s="53">
        <v>54.797499999999999</v>
      </c>
      <c r="DZ122" s="63"/>
    </row>
    <row r="123" spans="1:130" s="5" customFormat="1" ht="14.25" hidden="1" customHeight="1">
      <c r="A123" s="45">
        <v>1124</v>
      </c>
      <c r="B123" s="46" t="s">
        <v>110</v>
      </c>
      <c r="C123" s="47">
        <v>2006</v>
      </c>
      <c r="D123" s="47" t="s">
        <v>100</v>
      </c>
      <c r="E123" s="46" t="s">
        <v>101</v>
      </c>
      <c r="F123" s="46">
        <v>4</v>
      </c>
      <c r="G123" s="48">
        <v>82204</v>
      </c>
      <c r="H123" s="46" t="s">
        <v>249</v>
      </c>
      <c r="I123" s="46">
        <v>1</v>
      </c>
      <c r="J123" s="46">
        <v>3</v>
      </c>
      <c r="K123" s="49" t="s">
        <v>121</v>
      </c>
      <c r="L123" s="49" t="s">
        <v>40</v>
      </c>
      <c r="M123" s="49" t="s">
        <v>35</v>
      </c>
      <c r="N123" s="49" t="s">
        <v>513</v>
      </c>
      <c r="O123" s="49"/>
      <c r="P123" s="49" t="s">
        <v>201</v>
      </c>
      <c r="Q123" s="49" t="s">
        <v>35</v>
      </c>
      <c r="R123" s="49">
        <v>3</v>
      </c>
      <c r="S123" s="50">
        <f t="shared" ref="S123:S154" si="56">(R123/J123)*100</f>
        <v>100</v>
      </c>
      <c r="T123" s="49">
        <v>2</v>
      </c>
      <c r="U123" s="50">
        <f t="shared" ref="U123:U154" si="57">(T123/J123)*100</f>
        <v>66.666666666666657</v>
      </c>
      <c r="V123" s="49" t="s">
        <v>867</v>
      </c>
      <c r="W123" s="49">
        <v>2</v>
      </c>
      <c r="X123" s="50">
        <f t="shared" ref="X123:X154" si="58">(W123/J123)*100</f>
        <v>66.666666666666657</v>
      </c>
      <c r="Y123" s="51" t="str">
        <f t="shared" ref="Y123:Y154" si="59">IF(L123="M","No", IF(P123="n/a","No",IF(P123="white","No","Yes")))</f>
        <v>Yes</v>
      </c>
      <c r="Z123" s="49" t="s">
        <v>29</v>
      </c>
      <c r="AA123" s="49" t="s">
        <v>35</v>
      </c>
      <c r="AB123" s="45" t="s">
        <v>35</v>
      </c>
      <c r="AC123" s="46" t="s">
        <v>151</v>
      </c>
      <c r="AD123" s="46" t="s">
        <v>152</v>
      </c>
      <c r="AE123" s="46" t="s">
        <v>73</v>
      </c>
      <c r="AF123" s="46" t="s">
        <v>29</v>
      </c>
      <c r="AG123" s="103"/>
      <c r="AH123" s="52">
        <v>9496</v>
      </c>
      <c r="AI123" s="52">
        <v>9496</v>
      </c>
      <c r="AJ123" s="102">
        <v>53.26</v>
      </c>
      <c r="AK123" s="104">
        <v>106.52</v>
      </c>
      <c r="AL123" s="102">
        <v>53.26</v>
      </c>
      <c r="AM123" s="102"/>
      <c r="AN123" s="53">
        <f t="shared" ref="AN123:AN154" si="60">AL123/(1/(I123+1))</f>
        <v>106.52</v>
      </c>
      <c r="AO123" s="53">
        <v>34.909999999999997</v>
      </c>
      <c r="AP123" s="102"/>
      <c r="AQ123" s="102"/>
      <c r="AR123" s="50"/>
      <c r="AS123" s="50"/>
      <c r="AT123" s="102"/>
      <c r="AU123" s="102"/>
      <c r="AV123" s="50"/>
      <c r="AW123" s="50"/>
      <c r="AX123" s="50"/>
      <c r="AY123" s="50"/>
      <c r="AZ123" s="102"/>
      <c r="BA123" s="102"/>
      <c r="BB123" s="102"/>
      <c r="BC123" s="102"/>
      <c r="BD123" s="50"/>
      <c r="BE123" s="50"/>
      <c r="BF123" s="50"/>
      <c r="BG123" s="50"/>
      <c r="BH123" s="102"/>
      <c r="BI123" s="102"/>
      <c r="BJ123" s="50"/>
      <c r="BK123" s="50"/>
      <c r="BL123" s="50"/>
      <c r="BM123" s="50"/>
      <c r="BN123" s="102"/>
      <c r="BO123" s="50"/>
      <c r="BP123" s="50"/>
      <c r="BQ123" s="50"/>
      <c r="BR123" s="102"/>
      <c r="BS123" s="54" t="s">
        <v>29</v>
      </c>
      <c r="BT123" s="45" t="str">
        <f t="shared" si="53"/>
        <v>Yes</v>
      </c>
      <c r="BU123" s="45" t="str">
        <f t="shared" si="54"/>
        <v>No</v>
      </c>
      <c r="BV123" s="45" t="str">
        <f t="shared" si="55"/>
        <v>No</v>
      </c>
      <c r="BW123" s="55">
        <v>89.089574850866398</v>
      </c>
      <c r="BX123" s="55"/>
      <c r="BY123" s="55">
        <v>90.319574850866402</v>
      </c>
      <c r="BZ123" s="55"/>
      <c r="CA123" s="45">
        <v>2004</v>
      </c>
      <c r="CB123" s="55">
        <f t="shared" ref="CB123:CB154" si="61">((AI123/I123)/DB123)*100</f>
        <v>29.37664346481052</v>
      </c>
      <c r="CC123" s="46" t="s">
        <v>150</v>
      </c>
      <c r="CD123" s="46" t="s">
        <v>151</v>
      </c>
      <c r="CE123" s="46" t="s">
        <v>783</v>
      </c>
      <c r="CF123" s="46">
        <v>2</v>
      </c>
      <c r="CG123" s="46" t="str">
        <f t="shared" ref="CG123:CG154" si="62">IF(CD123="Primary (decisive)", "Yes", "No")</f>
        <v>Yes</v>
      </c>
      <c r="CH123" s="46" t="s">
        <v>29</v>
      </c>
      <c r="CI123" s="56">
        <v>300</v>
      </c>
      <c r="CJ123" s="46">
        <v>50</v>
      </c>
      <c r="CK123" s="46" t="s">
        <v>23</v>
      </c>
      <c r="CL123" s="49" t="s">
        <v>35</v>
      </c>
      <c r="CM123" s="50">
        <v>0</v>
      </c>
      <c r="CN123" s="50"/>
      <c r="CO123" s="50"/>
      <c r="CP123" s="46" t="s">
        <v>23</v>
      </c>
      <c r="CQ123" s="46" t="s">
        <v>24</v>
      </c>
      <c r="CR123" s="46">
        <v>7</v>
      </c>
      <c r="CS123" s="46" t="s">
        <v>855</v>
      </c>
      <c r="CT123" s="46" t="s">
        <v>856</v>
      </c>
      <c r="CU123" s="46" t="s">
        <v>74</v>
      </c>
      <c r="CV123" s="46">
        <v>1</v>
      </c>
      <c r="CW123" s="46" t="s">
        <v>23</v>
      </c>
      <c r="CX123" s="49" t="s">
        <v>744</v>
      </c>
      <c r="CY123" s="49" t="s">
        <v>36</v>
      </c>
      <c r="CZ123" s="49">
        <v>0</v>
      </c>
      <c r="DA123" s="49">
        <v>1</v>
      </c>
      <c r="DB123" s="64">
        <v>32325</v>
      </c>
      <c r="DC123" s="58">
        <v>18.490000000000002</v>
      </c>
      <c r="DD123" s="58">
        <v>57.06</v>
      </c>
      <c r="DE123" s="58">
        <v>14.6</v>
      </c>
      <c r="DF123" s="58">
        <v>6.5</v>
      </c>
      <c r="DG123" s="58">
        <v>3.2915699922660484</v>
      </c>
      <c r="DH123" s="58">
        <v>81.509999999999991</v>
      </c>
      <c r="DI123" s="45" t="s">
        <v>35</v>
      </c>
      <c r="DJ123" s="59" t="str">
        <f t="shared" ref="DJ123:DJ154" si="63">IF(DH123&lt;50,"N/A",IF(DD123&gt;50,"African American",IF(DE123&gt;50,"Latino",IF(DF123&gt;50,"Asian","No single majority group"))))</f>
        <v>African American</v>
      </c>
      <c r="DK123" s="65">
        <v>32325</v>
      </c>
      <c r="DL123" s="58">
        <v>18.490000000000002</v>
      </c>
      <c r="DM123" s="58">
        <v>57.06</v>
      </c>
      <c r="DN123" s="58">
        <v>14.6</v>
      </c>
      <c r="DO123" s="58">
        <v>81.509999999999991</v>
      </c>
      <c r="DP123" s="66">
        <v>53.2</v>
      </c>
      <c r="DQ123" s="67">
        <v>54837.14</v>
      </c>
      <c r="DR123" s="53">
        <v>17.5</v>
      </c>
      <c r="DS123" s="58">
        <v>69.099999999999994</v>
      </c>
      <c r="DT123" s="53">
        <v>42.6</v>
      </c>
      <c r="DU123" s="55">
        <v>2.5099999999999998</v>
      </c>
      <c r="DV123" s="50">
        <v>35.4</v>
      </c>
      <c r="DW123" s="53">
        <v>78.8</v>
      </c>
      <c r="DX123" s="53">
        <v>97.33</v>
      </c>
      <c r="DY123" s="53">
        <v>54.797499999999999</v>
      </c>
      <c r="DZ123" s="63"/>
    </row>
    <row r="124" spans="1:130" s="5" customFormat="1" ht="14.25" hidden="1" customHeight="1">
      <c r="A124" s="45">
        <v>1119</v>
      </c>
      <c r="B124" s="46" t="s">
        <v>110</v>
      </c>
      <c r="C124" s="47">
        <v>2006</v>
      </c>
      <c r="D124" s="47" t="s">
        <v>38</v>
      </c>
      <c r="E124" s="46" t="s">
        <v>22</v>
      </c>
      <c r="F124" s="46">
        <v>4</v>
      </c>
      <c r="G124" s="48">
        <v>183000</v>
      </c>
      <c r="H124" s="46" t="s">
        <v>249</v>
      </c>
      <c r="I124" s="46">
        <v>1</v>
      </c>
      <c r="J124" s="46">
        <v>6</v>
      </c>
      <c r="K124" s="49" t="s">
        <v>161</v>
      </c>
      <c r="L124" s="49" t="s">
        <v>30</v>
      </c>
      <c r="M124" s="49" t="s">
        <v>29</v>
      </c>
      <c r="N124" s="49" t="s">
        <v>513</v>
      </c>
      <c r="O124" s="49"/>
      <c r="P124" s="49" t="s">
        <v>201</v>
      </c>
      <c r="Q124" s="49" t="s">
        <v>35</v>
      </c>
      <c r="R124" s="49">
        <v>1</v>
      </c>
      <c r="S124" s="50">
        <f t="shared" si="56"/>
        <v>16.666666666666664</v>
      </c>
      <c r="T124" s="49">
        <v>3</v>
      </c>
      <c r="U124" s="50">
        <f t="shared" si="57"/>
        <v>50</v>
      </c>
      <c r="V124" s="49" t="s">
        <v>865</v>
      </c>
      <c r="W124" s="49">
        <v>0</v>
      </c>
      <c r="X124" s="50">
        <f t="shared" si="58"/>
        <v>0</v>
      </c>
      <c r="Y124" s="51" t="str">
        <f t="shared" si="59"/>
        <v>No</v>
      </c>
      <c r="Z124" s="49" t="s">
        <v>29</v>
      </c>
      <c r="AA124" s="49" t="s">
        <v>35</v>
      </c>
      <c r="AB124" s="49" t="s">
        <v>29</v>
      </c>
      <c r="AC124" s="46" t="s">
        <v>151</v>
      </c>
      <c r="AD124" s="46" t="s">
        <v>152</v>
      </c>
      <c r="AE124" s="46" t="s">
        <v>73</v>
      </c>
      <c r="AF124" s="46" t="s">
        <v>29</v>
      </c>
      <c r="AG124" s="103"/>
      <c r="AH124" s="52">
        <v>83891</v>
      </c>
      <c r="AI124" s="52">
        <v>83891</v>
      </c>
      <c r="AJ124" s="102">
        <v>50.19</v>
      </c>
      <c r="AK124" s="104">
        <v>100.38</v>
      </c>
      <c r="AL124" s="102">
        <v>50.19</v>
      </c>
      <c r="AM124" s="102"/>
      <c r="AN124" s="53">
        <f t="shared" si="60"/>
        <v>100.38</v>
      </c>
      <c r="AO124" s="53">
        <v>32.979999999999997</v>
      </c>
      <c r="AP124" s="102"/>
      <c r="AQ124" s="102"/>
      <c r="AR124" s="102"/>
      <c r="AS124" s="102"/>
      <c r="AT124" s="102"/>
      <c r="AU124" s="102"/>
      <c r="AV124" s="102"/>
      <c r="AW124" s="102"/>
      <c r="AX124" s="102"/>
      <c r="AY124" s="102"/>
      <c r="AZ124" s="102"/>
      <c r="BA124" s="102"/>
      <c r="BB124" s="102"/>
      <c r="BC124" s="102"/>
      <c r="BD124" s="102"/>
      <c r="BE124" s="102"/>
      <c r="BF124" s="102"/>
      <c r="BG124" s="102"/>
      <c r="BH124" s="102"/>
      <c r="BI124" s="102"/>
      <c r="BJ124" s="102"/>
      <c r="BK124" s="102"/>
      <c r="BL124" s="102"/>
      <c r="BM124" s="102"/>
      <c r="BN124" s="102"/>
      <c r="BO124" s="102"/>
      <c r="BP124" s="102"/>
      <c r="BQ124" s="102"/>
      <c r="BR124" s="102"/>
      <c r="BS124" s="54" t="s">
        <v>29</v>
      </c>
      <c r="BT124" s="45" t="str">
        <f t="shared" si="53"/>
        <v>Yes</v>
      </c>
      <c r="BU124" s="45" t="str">
        <f t="shared" si="54"/>
        <v>No</v>
      </c>
      <c r="BV124" s="45" t="str">
        <f t="shared" si="55"/>
        <v>No</v>
      </c>
      <c r="BW124" s="55">
        <v>89.089574850866398</v>
      </c>
      <c r="BX124" s="55">
        <v>89.089574850866398</v>
      </c>
      <c r="BY124" s="55">
        <v>90.319574850866388</v>
      </c>
      <c r="BZ124" s="55">
        <f>BX124-(-0.0246*100/2)</f>
        <v>90.319574850866402</v>
      </c>
      <c r="CA124" s="45">
        <v>2004</v>
      </c>
      <c r="CB124" s="55">
        <f t="shared" si="61"/>
        <v>33.980476344782886</v>
      </c>
      <c r="CC124" s="46" t="s">
        <v>150</v>
      </c>
      <c r="CD124" s="46" t="s">
        <v>151</v>
      </c>
      <c r="CE124" s="46" t="s">
        <v>783</v>
      </c>
      <c r="CF124" s="46">
        <v>2</v>
      </c>
      <c r="CG124" s="46" t="str">
        <f t="shared" si="62"/>
        <v>Yes</v>
      </c>
      <c r="CH124" s="46" t="s">
        <v>35</v>
      </c>
      <c r="CI124" s="56">
        <v>300</v>
      </c>
      <c r="CJ124" s="46">
        <v>50</v>
      </c>
      <c r="CK124" s="46" t="s">
        <v>23</v>
      </c>
      <c r="CL124" s="49" t="s">
        <v>29</v>
      </c>
      <c r="CM124" s="102">
        <v>0</v>
      </c>
      <c r="CN124" s="102">
        <v>760559.24879999994</v>
      </c>
      <c r="CO124" s="102" t="s">
        <v>35</v>
      </c>
      <c r="CP124" s="46" t="s">
        <v>23</v>
      </c>
      <c r="CQ124" s="46" t="s">
        <v>23</v>
      </c>
      <c r="CR124" s="46">
        <v>7</v>
      </c>
      <c r="CS124" s="46" t="s">
        <v>855</v>
      </c>
      <c r="CT124" s="71" t="s">
        <v>53</v>
      </c>
      <c r="CU124" s="46" t="s">
        <v>74</v>
      </c>
      <c r="CV124" s="46">
        <v>1</v>
      </c>
      <c r="CW124" s="46" t="s">
        <v>23</v>
      </c>
      <c r="CX124" s="49" t="s">
        <v>744</v>
      </c>
      <c r="CY124" s="49" t="s">
        <v>36</v>
      </c>
      <c r="CZ124" s="49">
        <v>0</v>
      </c>
      <c r="DA124" s="49">
        <v>1</v>
      </c>
      <c r="DB124" s="64">
        <v>246880</v>
      </c>
      <c r="DC124" s="58">
        <v>35.79</v>
      </c>
      <c r="DD124" s="58">
        <v>34.65</v>
      </c>
      <c r="DE124" s="58">
        <v>11.04</v>
      </c>
      <c r="DF124" s="58">
        <v>14.89</v>
      </c>
      <c r="DG124" s="58">
        <v>3.63</v>
      </c>
      <c r="DH124" s="58">
        <v>64.209999999999994</v>
      </c>
      <c r="DI124" s="45" t="s">
        <v>35</v>
      </c>
      <c r="DJ124" s="59" t="str">
        <f t="shared" si="63"/>
        <v>No single majority group</v>
      </c>
      <c r="DK124" s="65">
        <v>246880</v>
      </c>
      <c r="DL124" s="58">
        <v>35.79</v>
      </c>
      <c r="DM124" s="58">
        <v>34.65</v>
      </c>
      <c r="DN124" s="58">
        <v>11.04</v>
      </c>
      <c r="DO124" s="58">
        <v>64.209999999999994</v>
      </c>
      <c r="DP124" s="66">
        <v>53.2</v>
      </c>
      <c r="DQ124" s="67">
        <v>54837.14</v>
      </c>
      <c r="DR124" s="53">
        <v>17.5</v>
      </c>
      <c r="DS124" s="58">
        <v>69.099999999999994</v>
      </c>
      <c r="DT124" s="53">
        <v>42.6</v>
      </c>
      <c r="DU124" s="105">
        <v>2.5099999999999998</v>
      </c>
      <c r="DV124" s="102">
        <v>35.4</v>
      </c>
      <c r="DW124" s="53">
        <v>78.8</v>
      </c>
      <c r="DX124" s="53">
        <v>97.33</v>
      </c>
      <c r="DY124" s="53">
        <v>54.797499999999999</v>
      </c>
      <c r="DZ124" s="63"/>
    </row>
    <row r="125" spans="1:130" s="5" customFormat="1" ht="14.25" hidden="1" customHeight="1">
      <c r="A125" s="45">
        <v>1121</v>
      </c>
      <c r="B125" s="46" t="s">
        <v>110</v>
      </c>
      <c r="C125" s="47">
        <v>2006</v>
      </c>
      <c r="D125" s="47" t="s">
        <v>116</v>
      </c>
      <c r="E125" s="46" t="s">
        <v>92</v>
      </c>
      <c r="F125" s="46">
        <v>4</v>
      </c>
      <c r="G125" s="48">
        <v>10000</v>
      </c>
      <c r="H125" s="46" t="s">
        <v>332</v>
      </c>
      <c r="I125" s="46">
        <v>1</v>
      </c>
      <c r="J125" s="46">
        <v>1</v>
      </c>
      <c r="K125" s="49" t="s">
        <v>147</v>
      </c>
      <c r="L125" s="49" t="s">
        <v>30</v>
      </c>
      <c r="M125" s="49" t="s">
        <v>29</v>
      </c>
      <c r="N125" s="49" t="s">
        <v>513</v>
      </c>
      <c r="O125" s="49"/>
      <c r="P125" s="49" t="s">
        <v>34</v>
      </c>
      <c r="Q125" s="49" t="s">
        <v>35</v>
      </c>
      <c r="R125" s="49">
        <v>0</v>
      </c>
      <c r="S125" s="50">
        <f t="shared" si="56"/>
        <v>0</v>
      </c>
      <c r="T125" s="49">
        <v>1</v>
      </c>
      <c r="U125" s="50">
        <f t="shared" si="57"/>
        <v>100</v>
      </c>
      <c r="V125" s="49" t="s">
        <v>173</v>
      </c>
      <c r="W125" s="49">
        <v>0</v>
      </c>
      <c r="X125" s="50">
        <f t="shared" si="58"/>
        <v>0</v>
      </c>
      <c r="Y125" s="51" t="str">
        <f t="shared" si="59"/>
        <v>No</v>
      </c>
      <c r="Z125" s="49" t="s">
        <v>29</v>
      </c>
      <c r="AA125" s="49" t="s">
        <v>35</v>
      </c>
      <c r="AB125" s="49" t="s">
        <v>29</v>
      </c>
      <c r="AC125" s="46" t="s">
        <v>151</v>
      </c>
      <c r="AD125" s="46" t="s">
        <v>152</v>
      </c>
      <c r="AE125" s="46" t="s">
        <v>73</v>
      </c>
      <c r="AF125" s="46" t="s">
        <v>29</v>
      </c>
      <c r="AG125" s="103"/>
      <c r="AH125" s="52">
        <v>7229</v>
      </c>
      <c r="AI125" s="52">
        <v>7229</v>
      </c>
      <c r="AJ125" s="102">
        <v>99.17</v>
      </c>
      <c r="AK125" s="104">
        <v>198.34</v>
      </c>
      <c r="AL125" s="102">
        <v>99.17</v>
      </c>
      <c r="AM125" s="102"/>
      <c r="AN125" s="53">
        <f t="shared" si="60"/>
        <v>198.34</v>
      </c>
      <c r="AO125" s="53"/>
      <c r="AP125" s="102"/>
      <c r="AQ125" s="102"/>
      <c r="AR125" s="102"/>
      <c r="AS125" s="102"/>
      <c r="AT125" s="102"/>
      <c r="AU125" s="102"/>
      <c r="AV125" s="102"/>
      <c r="AW125" s="102"/>
      <c r="AX125" s="102"/>
      <c r="AY125" s="102"/>
      <c r="AZ125" s="102"/>
      <c r="BA125" s="102"/>
      <c r="BB125" s="102"/>
      <c r="BC125" s="102"/>
      <c r="BD125" s="102"/>
      <c r="BE125" s="102"/>
      <c r="BF125" s="102"/>
      <c r="BG125" s="102"/>
      <c r="BH125" s="102"/>
      <c r="BI125" s="102"/>
      <c r="BJ125" s="102"/>
      <c r="BK125" s="102"/>
      <c r="BL125" s="102"/>
      <c r="BM125" s="102"/>
      <c r="BN125" s="102"/>
      <c r="BO125" s="102"/>
      <c r="BP125" s="102"/>
      <c r="BQ125" s="102"/>
      <c r="BR125" s="102"/>
      <c r="BS125" s="54"/>
      <c r="BT125" s="45"/>
      <c r="BU125" s="45"/>
      <c r="BV125" s="45"/>
      <c r="BW125" s="55">
        <v>89.089574850866398</v>
      </c>
      <c r="BX125" s="55"/>
      <c r="BY125" s="55">
        <v>90.319574850866402</v>
      </c>
      <c r="BZ125" s="55"/>
      <c r="CA125" s="45">
        <v>2004</v>
      </c>
      <c r="CB125" s="55">
        <f t="shared" si="61"/>
        <v>20.230599166036995</v>
      </c>
      <c r="CC125" s="46" t="s">
        <v>150</v>
      </c>
      <c r="CD125" s="46" t="s">
        <v>151</v>
      </c>
      <c r="CE125" s="46" t="s">
        <v>783</v>
      </c>
      <c r="CF125" s="46">
        <v>2</v>
      </c>
      <c r="CG125" s="46" t="str">
        <f t="shared" si="62"/>
        <v>Yes</v>
      </c>
      <c r="CH125" s="46" t="s">
        <v>29</v>
      </c>
      <c r="CI125" s="56">
        <v>300</v>
      </c>
      <c r="CJ125" s="46">
        <v>50</v>
      </c>
      <c r="CK125" s="46" t="s">
        <v>23</v>
      </c>
      <c r="CL125" s="49" t="s">
        <v>29</v>
      </c>
      <c r="CM125" s="50">
        <v>0</v>
      </c>
      <c r="CN125" s="50"/>
      <c r="CO125" s="50"/>
      <c r="CP125" s="46" t="s">
        <v>23</v>
      </c>
      <c r="CQ125" s="46" t="s">
        <v>24</v>
      </c>
      <c r="CR125" s="46">
        <v>7</v>
      </c>
      <c r="CS125" s="46" t="s">
        <v>855</v>
      </c>
      <c r="CT125" s="46" t="s">
        <v>856</v>
      </c>
      <c r="CU125" s="46" t="s">
        <v>74</v>
      </c>
      <c r="CV125" s="46">
        <v>1</v>
      </c>
      <c r="CW125" s="46" t="s">
        <v>23</v>
      </c>
      <c r="CX125" s="49" t="s">
        <v>744</v>
      </c>
      <c r="CY125" s="49" t="s">
        <v>36</v>
      </c>
      <c r="CZ125" s="49">
        <v>0</v>
      </c>
      <c r="DA125" s="49">
        <v>1</v>
      </c>
      <c r="DB125" s="64">
        <v>35733</v>
      </c>
      <c r="DC125" s="58">
        <v>37.35</v>
      </c>
      <c r="DD125" s="58">
        <v>19.580000000000002</v>
      </c>
      <c r="DE125" s="58">
        <v>9.1399999999999988</v>
      </c>
      <c r="DF125" s="58">
        <v>30.159999999999997</v>
      </c>
      <c r="DG125" s="58">
        <v>3.7892144516273469</v>
      </c>
      <c r="DH125" s="58">
        <v>62.650000000000006</v>
      </c>
      <c r="DI125" s="45" t="s">
        <v>35</v>
      </c>
      <c r="DJ125" s="59" t="str">
        <f t="shared" si="63"/>
        <v>No single majority group</v>
      </c>
      <c r="DK125" s="65">
        <v>35733</v>
      </c>
      <c r="DL125" s="58">
        <v>37.35</v>
      </c>
      <c r="DM125" s="58">
        <v>19.580000000000002</v>
      </c>
      <c r="DN125" s="58">
        <v>9.1399999999999988</v>
      </c>
      <c r="DO125" s="58">
        <v>62.650000000000006</v>
      </c>
      <c r="DP125" s="66">
        <v>53.2</v>
      </c>
      <c r="DQ125" s="67">
        <v>54837.14</v>
      </c>
      <c r="DR125" s="53">
        <v>17.5</v>
      </c>
      <c r="DS125" s="58">
        <v>69.099999999999994</v>
      </c>
      <c r="DT125" s="53">
        <v>42.6</v>
      </c>
      <c r="DU125" s="55">
        <v>2.5099999999999998</v>
      </c>
      <c r="DV125" s="50">
        <v>35.4</v>
      </c>
      <c r="DW125" s="53">
        <v>78.8</v>
      </c>
      <c r="DX125" s="53">
        <v>97.33</v>
      </c>
      <c r="DY125" s="53">
        <v>54.797499999999999</v>
      </c>
      <c r="DZ125" s="63"/>
    </row>
    <row r="126" spans="1:130" s="5" customFormat="1" ht="14.25" hidden="1" customHeight="1">
      <c r="A126" s="45">
        <v>1123</v>
      </c>
      <c r="B126" s="46" t="s">
        <v>110</v>
      </c>
      <c r="C126" s="47">
        <v>2006</v>
      </c>
      <c r="D126" s="47" t="s">
        <v>119</v>
      </c>
      <c r="E126" s="46" t="s">
        <v>80</v>
      </c>
      <c r="F126" s="46">
        <v>4</v>
      </c>
      <c r="G126" s="48">
        <v>10000</v>
      </c>
      <c r="H126" s="46" t="s">
        <v>332</v>
      </c>
      <c r="I126" s="46">
        <v>1</v>
      </c>
      <c r="J126" s="46">
        <v>1</v>
      </c>
      <c r="K126" s="49" t="s">
        <v>148</v>
      </c>
      <c r="L126" s="49" t="s">
        <v>30</v>
      </c>
      <c r="M126" s="49" t="s">
        <v>29</v>
      </c>
      <c r="N126" s="49" t="s">
        <v>513</v>
      </c>
      <c r="O126" s="49"/>
      <c r="P126" s="49" t="s">
        <v>34</v>
      </c>
      <c r="Q126" s="49" t="s">
        <v>35</v>
      </c>
      <c r="R126" s="49">
        <v>0</v>
      </c>
      <c r="S126" s="50">
        <f t="shared" si="56"/>
        <v>0</v>
      </c>
      <c r="T126" s="49">
        <v>1</v>
      </c>
      <c r="U126" s="50">
        <f t="shared" si="57"/>
        <v>100</v>
      </c>
      <c r="V126" s="49" t="s">
        <v>173</v>
      </c>
      <c r="W126" s="49">
        <v>0</v>
      </c>
      <c r="X126" s="50">
        <f t="shared" si="58"/>
        <v>0</v>
      </c>
      <c r="Y126" s="51" t="str">
        <f t="shared" si="59"/>
        <v>No</v>
      </c>
      <c r="Z126" s="49" t="s">
        <v>29</v>
      </c>
      <c r="AA126" s="49" t="s">
        <v>35</v>
      </c>
      <c r="AB126" s="49" t="s">
        <v>29</v>
      </c>
      <c r="AC126" s="46" t="s">
        <v>151</v>
      </c>
      <c r="AD126" s="46" t="s">
        <v>152</v>
      </c>
      <c r="AE126" s="46" t="s">
        <v>73</v>
      </c>
      <c r="AF126" s="46" t="s">
        <v>29</v>
      </c>
      <c r="AG126" s="103"/>
      <c r="AH126" s="52">
        <v>11199</v>
      </c>
      <c r="AI126" s="52">
        <v>11199</v>
      </c>
      <c r="AJ126" s="102">
        <v>99.01</v>
      </c>
      <c r="AK126" s="104">
        <v>198.02</v>
      </c>
      <c r="AL126" s="102">
        <v>99.01</v>
      </c>
      <c r="AM126" s="102"/>
      <c r="AN126" s="53">
        <f t="shared" si="60"/>
        <v>198.02</v>
      </c>
      <c r="AO126" s="53"/>
      <c r="AP126" s="102"/>
      <c r="AQ126" s="102"/>
      <c r="AR126" s="102"/>
      <c r="AS126" s="102"/>
      <c r="AT126" s="102"/>
      <c r="AU126" s="102"/>
      <c r="AV126" s="102"/>
      <c r="AW126" s="102"/>
      <c r="AX126" s="102"/>
      <c r="AY126" s="102"/>
      <c r="AZ126" s="102"/>
      <c r="BA126" s="102"/>
      <c r="BB126" s="102"/>
      <c r="BC126" s="102"/>
      <c r="BD126" s="102"/>
      <c r="BE126" s="102"/>
      <c r="BF126" s="102"/>
      <c r="BG126" s="102"/>
      <c r="BH126" s="102"/>
      <c r="BI126" s="102"/>
      <c r="BJ126" s="102"/>
      <c r="BK126" s="102"/>
      <c r="BL126" s="102"/>
      <c r="BM126" s="102"/>
      <c r="BN126" s="102"/>
      <c r="BO126" s="102"/>
      <c r="BP126" s="102"/>
      <c r="BQ126" s="102"/>
      <c r="BR126" s="102"/>
      <c r="BS126" s="54"/>
      <c r="BT126" s="45"/>
      <c r="BU126" s="45"/>
      <c r="BV126" s="45"/>
      <c r="BW126" s="55">
        <v>89.089574850866398</v>
      </c>
      <c r="BX126" s="55"/>
      <c r="BY126" s="55">
        <v>90.319574850866402</v>
      </c>
      <c r="BZ126" s="55"/>
      <c r="CA126" s="45">
        <v>2004</v>
      </c>
      <c r="CB126" s="55">
        <f t="shared" si="61"/>
        <v>27.757398502949489</v>
      </c>
      <c r="CC126" s="46" t="s">
        <v>150</v>
      </c>
      <c r="CD126" s="46" t="s">
        <v>151</v>
      </c>
      <c r="CE126" s="46" t="s">
        <v>783</v>
      </c>
      <c r="CF126" s="46">
        <v>2</v>
      </c>
      <c r="CG126" s="46" t="str">
        <f t="shared" si="62"/>
        <v>Yes</v>
      </c>
      <c r="CH126" s="46" t="s">
        <v>29</v>
      </c>
      <c r="CI126" s="56">
        <v>300</v>
      </c>
      <c r="CJ126" s="46">
        <v>50</v>
      </c>
      <c r="CK126" s="46" t="s">
        <v>23</v>
      </c>
      <c r="CL126" s="49" t="s">
        <v>29</v>
      </c>
      <c r="CM126" s="50">
        <v>0</v>
      </c>
      <c r="CN126" s="50"/>
      <c r="CO126" s="50"/>
      <c r="CP126" s="46" t="s">
        <v>23</v>
      </c>
      <c r="CQ126" s="46" t="s">
        <v>24</v>
      </c>
      <c r="CR126" s="46">
        <v>7</v>
      </c>
      <c r="CS126" s="46" t="s">
        <v>855</v>
      </c>
      <c r="CT126" s="46" t="s">
        <v>856</v>
      </c>
      <c r="CU126" s="46" t="s">
        <v>74</v>
      </c>
      <c r="CV126" s="46">
        <v>1</v>
      </c>
      <c r="CW126" s="46" t="s">
        <v>23</v>
      </c>
      <c r="CX126" s="49" t="s">
        <v>744</v>
      </c>
      <c r="CY126" s="49" t="s">
        <v>36</v>
      </c>
      <c r="CZ126" s="49">
        <v>0</v>
      </c>
      <c r="DA126" s="49">
        <v>1</v>
      </c>
      <c r="DB126" s="64">
        <v>40346</v>
      </c>
      <c r="DC126" s="58">
        <v>49.01</v>
      </c>
      <c r="DD126" s="58">
        <v>22.38</v>
      </c>
      <c r="DE126" s="58">
        <v>8.3800000000000008</v>
      </c>
      <c r="DF126" s="58">
        <v>18.16</v>
      </c>
      <c r="DG126" s="58">
        <v>2.7834233876964256</v>
      </c>
      <c r="DH126" s="58">
        <v>50.99</v>
      </c>
      <c r="DI126" s="45" t="s">
        <v>35</v>
      </c>
      <c r="DJ126" s="59" t="str">
        <f t="shared" si="63"/>
        <v>No single majority group</v>
      </c>
      <c r="DK126" s="65">
        <v>40346</v>
      </c>
      <c r="DL126" s="58">
        <v>49.01</v>
      </c>
      <c r="DM126" s="58">
        <v>22.38</v>
      </c>
      <c r="DN126" s="58">
        <v>8.3800000000000008</v>
      </c>
      <c r="DO126" s="58">
        <v>50.99</v>
      </c>
      <c r="DP126" s="66">
        <v>53.2</v>
      </c>
      <c r="DQ126" s="67">
        <v>54837.14</v>
      </c>
      <c r="DR126" s="53">
        <v>17.5</v>
      </c>
      <c r="DS126" s="58">
        <v>69.099999999999994</v>
      </c>
      <c r="DT126" s="53">
        <v>42.6</v>
      </c>
      <c r="DU126" s="55">
        <v>2.5099999999999998</v>
      </c>
      <c r="DV126" s="50">
        <v>35.4</v>
      </c>
      <c r="DW126" s="53">
        <v>78.8</v>
      </c>
      <c r="DX126" s="53">
        <v>97.33</v>
      </c>
      <c r="DY126" s="53">
        <v>54.797499999999999</v>
      </c>
      <c r="DZ126" s="63"/>
    </row>
    <row r="127" spans="1:130" s="5" customFormat="1" ht="14.25" hidden="1" customHeight="1">
      <c r="A127" s="45">
        <v>1125</v>
      </c>
      <c r="B127" s="46" t="s">
        <v>110</v>
      </c>
      <c r="C127" s="47">
        <v>2006</v>
      </c>
      <c r="D127" s="47" t="s">
        <v>122</v>
      </c>
      <c r="E127" s="71" t="s">
        <v>101</v>
      </c>
      <c r="F127" s="46">
        <v>4</v>
      </c>
      <c r="G127" s="48">
        <v>10000</v>
      </c>
      <c r="H127" s="46" t="s">
        <v>332</v>
      </c>
      <c r="I127" s="46">
        <v>1</v>
      </c>
      <c r="J127" s="46">
        <v>2</v>
      </c>
      <c r="K127" s="49" t="s">
        <v>149</v>
      </c>
      <c r="L127" s="49" t="s">
        <v>30</v>
      </c>
      <c r="M127" s="49" t="s">
        <v>29</v>
      </c>
      <c r="N127" s="49"/>
      <c r="O127" s="49"/>
      <c r="P127" s="49" t="s">
        <v>31</v>
      </c>
      <c r="Q127" s="49" t="s">
        <v>29</v>
      </c>
      <c r="R127" s="49">
        <v>1</v>
      </c>
      <c r="S127" s="50">
        <f t="shared" si="56"/>
        <v>50</v>
      </c>
      <c r="T127" s="49">
        <v>1</v>
      </c>
      <c r="U127" s="50">
        <f t="shared" si="57"/>
        <v>50</v>
      </c>
      <c r="V127" s="49" t="s">
        <v>858</v>
      </c>
      <c r="W127" s="49">
        <v>1</v>
      </c>
      <c r="X127" s="50">
        <f t="shared" si="58"/>
        <v>50</v>
      </c>
      <c r="Y127" s="51" t="str">
        <f t="shared" si="59"/>
        <v>No</v>
      </c>
      <c r="Z127" s="45"/>
      <c r="AA127" s="45"/>
      <c r="AB127" s="45"/>
      <c r="AC127" s="46" t="s">
        <v>151</v>
      </c>
      <c r="AD127" s="46" t="s">
        <v>152</v>
      </c>
      <c r="AE127" s="46" t="s">
        <v>73</v>
      </c>
      <c r="AF127" s="46" t="s">
        <v>29</v>
      </c>
      <c r="AG127" s="103"/>
      <c r="AH127" s="52">
        <v>8521</v>
      </c>
      <c r="AI127" s="52">
        <v>8521</v>
      </c>
      <c r="AJ127" s="102">
        <v>51.94</v>
      </c>
      <c r="AK127" s="104">
        <v>103.88</v>
      </c>
      <c r="AL127" s="102">
        <v>51.94</v>
      </c>
      <c r="AM127" s="102"/>
      <c r="AN127" s="53">
        <f t="shared" si="60"/>
        <v>103.88</v>
      </c>
      <c r="AO127" s="53"/>
      <c r="AP127" s="102"/>
      <c r="AQ127" s="102"/>
      <c r="AR127" s="102"/>
      <c r="AS127" s="102"/>
      <c r="AT127" s="102"/>
      <c r="AU127" s="102"/>
      <c r="AV127" s="102"/>
      <c r="AW127" s="102"/>
      <c r="AX127" s="102"/>
      <c r="AY127" s="102"/>
      <c r="AZ127" s="102"/>
      <c r="BA127" s="102"/>
      <c r="BB127" s="102"/>
      <c r="BC127" s="102"/>
      <c r="BD127" s="102"/>
      <c r="BE127" s="102"/>
      <c r="BF127" s="102"/>
      <c r="BG127" s="102"/>
      <c r="BH127" s="102"/>
      <c r="BI127" s="102"/>
      <c r="BJ127" s="102"/>
      <c r="BK127" s="102"/>
      <c r="BL127" s="102"/>
      <c r="BM127" s="102"/>
      <c r="BN127" s="102"/>
      <c r="BO127" s="102"/>
      <c r="BP127" s="102"/>
      <c r="BQ127" s="102"/>
      <c r="BR127" s="102"/>
      <c r="BS127" s="54"/>
      <c r="BT127" s="45"/>
      <c r="BU127" s="45"/>
      <c r="BV127" s="45"/>
      <c r="BW127" s="55">
        <v>89.089574850866398</v>
      </c>
      <c r="BX127" s="55">
        <v>89.089574850866398</v>
      </c>
      <c r="BY127" s="55">
        <v>90.319574850866402</v>
      </c>
      <c r="BZ127" s="55">
        <f>BX127-(-0.0246*100/2)</f>
        <v>90.319574850866402</v>
      </c>
      <c r="CA127" s="45">
        <v>2004</v>
      </c>
      <c r="CB127" s="55">
        <f t="shared" si="61"/>
        <v>26.360402165506574</v>
      </c>
      <c r="CC127" s="46" t="s">
        <v>150</v>
      </c>
      <c r="CD127" s="46" t="s">
        <v>151</v>
      </c>
      <c r="CE127" s="46" t="s">
        <v>783</v>
      </c>
      <c r="CF127" s="46">
        <v>2</v>
      </c>
      <c r="CG127" s="46" t="str">
        <f t="shared" si="62"/>
        <v>Yes</v>
      </c>
      <c r="CH127" s="46" t="s">
        <v>29</v>
      </c>
      <c r="CI127" s="56">
        <v>300</v>
      </c>
      <c r="CJ127" s="46">
        <v>50</v>
      </c>
      <c r="CK127" s="46" t="s">
        <v>23</v>
      </c>
      <c r="CL127" s="49" t="s">
        <v>29</v>
      </c>
      <c r="CM127" s="50">
        <v>0</v>
      </c>
      <c r="CN127" s="50"/>
      <c r="CO127" s="50"/>
      <c r="CP127" s="46" t="s">
        <v>23</v>
      </c>
      <c r="CQ127" s="46" t="s">
        <v>24</v>
      </c>
      <c r="CR127" s="46">
        <v>7</v>
      </c>
      <c r="CS127" s="46" t="s">
        <v>855</v>
      </c>
      <c r="CT127" s="46" t="s">
        <v>856</v>
      </c>
      <c r="CU127" s="46" t="s">
        <v>74</v>
      </c>
      <c r="CV127" s="46">
        <v>1</v>
      </c>
      <c r="CW127" s="46" t="s">
        <v>23</v>
      </c>
      <c r="CX127" s="49" t="s">
        <v>744</v>
      </c>
      <c r="CY127" s="49" t="s">
        <v>36</v>
      </c>
      <c r="CZ127" s="49">
        <v>0</v>
      </c>
      <c r="DA127" s="49">
        <v>1</v>
      </c>
      <c r="DB127" s="64">
        <v>32325</v>
      </c>
      <c r="DC127" s="58">
        <v>18.490000000000002</v>
      </c>
      <c r="DD127" s="58">
        <v>57.06</v>
      </c>
      <c r="DE127" s="58">
        <v>14.6</v>
      </c>
      <c r="DF127" s="58">
        <v>6.5</v>
      </c>
      <c r="DG127" s="58">
        <v>3.2915699922660484</v>
      </c>
      <c r="DH127" s="58">
        <v>81.509999999999991</v>
      </c>
      <c r="DI127" s="45" t="s">
        <v>35</v>
      </c>
      <c r="DJ127" s="59" t="str">
        <f t="shared" si="63"/>
        <v>African American</v>
      </c>
      <c r="DK127" s="65">
        <v>32325</v>
      </c>
      <c r="DL127" s="58">
        <v>18.490000000000002</v>
      </c>
      <c r="DM127" s="58">
        <v>57.06</v>
      </c>
      <c r="DN127" s="58">
        <v>14.6</v>
      </c>
      <c r="DO127" s="58">
        <v>81.509999999999991</v>
      </c>
      <c r="DP127" s="66">
        <v>53.2</v>
      </c>
      <c r="DQ127" s="67">
        <v>54837.14</v>
      </c>
      <c r="DR127" s="53">
        <v>17.5</v>
      </c>
      <c r="DS127" s="58">
        <v>69.099999999999994</v>
      </c>
      <c r="DT127" s="53">
        <v>42.6</v>
      </c>
      <c r="DU127" s="55">
        <v>2.5099999999999998</v>
      </c>
      <c r="DV127" s="50">
        <v>35.4</v>
      </c>
      <c r="DW127" s="53">
        <v>78.8</v>
      </c>
      <c r="DX127" s="53">
        <v>97.33</v>
      </c>
      <c r="DY127" s="53">
        <v>54.797499999999999</v>
      </c>
      <c r="DZ127" s="63"/>
    </row>
    <row r="128" spans="1:130" s="5" customFormat="1" ht="14.25" hidden="1" customHeight="1">
      <c r="A128" s="45">
        <v>1109</v>
      </c>
      <c r="B128" s="46" t="s">
        <v>110</v>
      </c>
      <c r="C128" s="47">
        <v>2008</v>
      </c>
      <c r="D128" s="47" t="s">
        <v>124</v>
      </c>
      <c r="E128" s="46" t="s">
        <v>22</v>
      </c>
      <c r="F128" s="46">
        <v>4</v>
      </c>
      <c r="G128" s="48">
        <v>220000</v>
      </c>
      <c r="H128" s="46" t="s">
        <v>249</v>
      </c>
      <c r="I128" s="46">
        <v>1</v>
      </c>
      <c r="J128" s="46">
        <v>1</v>
      </c>
      <c r="K128" s="49" t="s">
        <v>153</v>
      </c>
      <c r="L128" s="49" t="s">
        <v>30</v>
      </c>
      <c r="M128" s="49" t="s">
        <v>29</v>
      </c>
      <c r="N128" s="49" t="s">
        <v>513</v>
      </c>
      <c r="O128" s="49"/>
      <c r="P128" s="49" t="s">
        <v>31</v>
      </c>
      <c r="Q128" s="49" t="s">
        <v>29</v>
      </c>
      <c r="R128" s="49">
        <v>0</v>
      </c>
      <c r="S128" s="50">
        <f t="shared" si="56"/>
        <v>0</v>
      </c>
      <c r="T128" s="49">
        <v>0</v>
      </c>
      <c r="U128" s="50">
        <f t="shared" si="57"/>
        <v>0</v>
      </c>
      <c r="V128" s="45"/>
      <c r="W128" s="49">
        <v>0</v>
      </c>
      <c r="X128" s="50">
        <f t="shared" si="58"/>
        <v>0</v>
      </c>
      <c r="Y128" s="51" t="str">
        <f t="shared" si="59"/>
        <v>No</v>
      </c>
      <c r="Z128" s="49" t="s">
        <v>29</v>
      </c>
      <c r="AA128" s="49" t="s">
        <v>29</v>
      </c>
      <c r="AB128" s="49" t="s">
        <v>29</v>
      </c>
      <c r="AC128" s="46" t="s">
        <v>151</v>
      </c>
      <c r="AD128" s="46" t="s">
        <v>152</v>
      </c>
      <c r="AE128" s="46" t="s">
        <v>89</v>
      </c>
      <c r="AF128" s="46" t="s">
        <v>29</v>
      </c>
      <c r="AG128" s="103"/>
      <c r="AH128" s="52">
        <v>47486</v>
      </c>
      <c r="AI128" s="52">
        <v>47486</v>
      </c>
      <c r="AJ128" s="102">
        <v>98.12</v>
      </c>
      <c r="AK128" s="104">
        <v>196.24</v>
      </c>
      <c r="AL128" s="102">
        <v>98.12</v>
      </c>
      <c r="AM128" s="102"/>
      <c r="AN128" s="53">
        <f t="shared" si="60"/>
        <v>196.24</v>
      </c>
      <c r="AO128" s="53" t="s">
        <v>23</v>
      </c>
      <c r="AP128" s="102"/>
      <c r="AQ128" s="102"/>
      <c r="AR128" s="102"/>
      <c r="AS128" s="102"/>
      <c r="AT128" s="102"/>
      <c r="AU128" s="102"/>
      <c r="AV128" s="102"/>
      <c r="AW128" s="102"/>
      <c r="AX128" s="102"/>
      <c r="AY128" s="102"/>
      <c r="AZ128" s="102"/>
      <c r="BA128" s="102"/>
      <c r="BB128" s="102"/>
      <c r="BC128" s="102"/>
      <c r="BD128" s="102"/>
      <c r="BE128" s="102"/>
      <c r="BF128" s="102"/>
      <c r="BG128" s="102"/>
      <c r="BH128" s="102"/>
      <c r="BI128" s="102"/>
      <c r="BJ128" s="102"/>
      <c r="BK128" s="102"/>
      <c r="BL128" s="102"/>
      <c r="BM128" s="102"/>
      <c r="BN128" s="102"/>
      <c r="BO128" s="102"/>
      <c r="BP128" s="102"/>
      <c r="BQ128" s="102"/>
      <c r="BR128" s="102"/>
      <c r="BS128" s="54" t="s">
        <v>23</v>
      </c>
      <c r="BT128" s="45" t="str">
        <f t="shared" ref="BT128:BT133" si="64">IF(J128=I128, "No", IF(AJ128/AO128&lt;2, "Yes", "No"))</f>
        <v>No</v>
      </c>
      <c r="BU128" s="45" t="str">
        <f t="shared" ref="BU128:BU133" si="65">IF(J128=I128, "No", IF(AJ128/AO128&lt;1.5, "Yes", "No"))</f>
        <v>No</v>
      </c>
      <c r="BV128" s="45" t="str">
        <f t="shared" ref="BV128:BV133" si="66">IF(J128=I128, "No", IF((ABS(AJ128-AO128))&lt;(5/I128), "Yes", "No"))</f>
        <v>No</v>
      </c>
      <c r="BW128" s="55">
        <f>(151308/(151308+11618))*100</f>
        <v>92.869155322048044</v>
      </c>
      <c r="BX128" s="55">
        <f>(151308/(151308+11618))*100</f>
        <v>92.869155322048044</v>
      </c>
      <c r="BY128" s="55">
        <v>89.234155322048053</v>
      </c>
      <c r="BZ128" s="55">
        <f>BX128-(0.0727*100/2)</f>
        <v>89.234155322048039</v>
      </c>
      <c r="CA128" s="45">
        <v>2008</v>
      </c>
      <c r="CB128" s="55">
        <f t="shared" si="61"/>
        <v>19.714777987669439</v>
      </c>
      <c r="CC128" s="46" t="s">
        <v>150</v>
      </c>
      <c r="CD128" s="46" t="s">
        <v>151</v>
      </c>
      <c r="CE128" s="46" t="s">
        <v>783</v>
      </c>
      <c r="CF128" s="46">
        <v>2</v>
      </c>
      <c r="CG128" s="46" t="str">
        <f t="shared" si="62"/>
        <v>Yes</v>
      </c>
      <c r="CH128" s="46" t="s">
        <v>29</v>
      </c>
      <c r="CI128" s="56">
        <v>300</v>
      </c>
      <c r="CJ128" s="46">
        <v>50</v>
      </c>
      <c r="CK128" s="46" t="s">
        <v>23</v>
      </c>
      <c r="CL128" s="49" t="s">
        <v>29</v>
      </c>
      <c r="CM128" s="50">
        <v>0</v>
      </c>
      <c r="CN128" s="50"/>
      <c r="CO128" s="50"/>
      <c r="CP128" s="46" t="s">
        <v>23</v>
      </c>
      <c r="CQ128" s="46" t="s">
        <v>23</v>
      </c>
      <c r="CR128" s="46">
        <v>7</v>
      </c>
      <c r="CS128" s="46" t="s">
        <v>855</v>
      </c>
      <c r="CT128" s="46" t="s">
        <v>53</v>
      </c>
      <c r="CU128" s="46" t="s">
        <v>74</v>
      </c>
      <c r="CV128" s="46">
        <v>1</v>
      </c>
      <c r="CW128" s="46" t="s">
        <v>23</v>
      </c>
      <c r="CX128" s="49" t="s">
        <v>744</v>
      </c>
      <c r="CY128" s="49" t="s">
        <v>36</v>
      </c>
      <c r="CZ128" s="49">
        <v>0</v>
      </c>
      <c r="DA128" s="49">
        <v>1</v>
      </c>
      <c r="DB128" s="64">
        <v>240865</v>
      </c>
      <c r="DC128" s="58">
        <v>35.160000000000004</v>
      </c>
      <c r="DD128" s="58">
        <v>34.25</v>
      </c>
      <c r="DE128" s="58">
        <v>11.129999999999999</v>
      </c>
      <c r="DF128" s="58">
        <v>15.620000000000001</v>
      </c>
      <c r="DG128" s="58">
        <v>3.839999999999999</v>
      </c>
      <c r="DH128" s="58">
        <v>64.84</v>
      </c>
      <c r="DI128" s="45" t="s">
        <v>35</v>
      </c>
      <c r="DJ128" s="59" t="str">
        <f t="shared" si="63"/>
        <v>No single majority group</v>
      </c>
      <c r="DK128" s="65">
        <v>240865</v>
      </c>
      <c r="DL128" s="58">
        <v>35.160000000000004</v>
      </c>
      <c r="DM128" s="58">
        <v>34.25</v>
      </c>
      <c r="DN128" s="58">
        <v>11.129999999999999</v>
      </c>
      <c r="DO128" s="58">
        <v>64.84</v>
      </c>
      <c r="DP128" s="66">
        <v>53.15</v>
      </c>
      <c r="DQ128" s="67">
        <v>53980.4</v>
      </c>
      <c r="DR128" s="53">
        <v>18.7</v>
      </c>
      <c r="DS128" s="58">
        <v>71.8</v>
      </c>
      <c r="DT128" s="53">
        <v>42.4</v>
      </c>
      <c r="DU128" s="55">
        <v>2.4700000000000002</v>
      </c>
      <c r="DV128" s="50">
        <v>36</v>
      </c>
      <c r="DW128" s="53">
        <v>78.900000000000006</v>
      </c>
      <c r="DX128" s="53">
        <v>95.86</v>
      </c>
      <c r="DY128" s="53">
        <v>55.069699999999997</v>
      </c>
      <c r="DZ128" s="63"/>
    </row>
    <row r="129" spans="1:130" s="5" customFormat="1" ht="14.25" hidden="1" customHeight="1">
      <c r="A129" s="45">
        <v>1108</v>
      </c>
      <c r="B129" s="46" t="s">
        <v>110</v>
      </c>
      <c r="C129" s="47">
        <v>2008</v>
      </c>
      <c r="D129" s="47" t="s">
        <v>154</v>
      </c>
      <c r="E129" s="46" t="s">
        <v>22</v>
      </c>
      <c r="F129" s="46">
        <v>4</v>
      </c>
      <c r="G129" s="48">
        <v>82204</v>
      </c>
      <c r="H129" s="46" t="s">
        <v>249</v>
      </c>
      <c r="I129" s="46">
        <v>1</v>
      </c>
      <c r="J129" s="46">
        <v>5</v>
      </c>
      <c r="K129" s="46" t="s">
        <v>127</v>
      </c>
      <c r="L129" s="46" t="s">
        <v>40</v>
      </c>
      <c r="M129" s="49" t="s">
        <v>35</v>
      </c>
      <c r="N129" s="49" t="s">
        <v>512</v>
      </c>
      <c r="O129" s="49"/>
      <c r="P129" s="46" t="s">
        <v>31</v>
      </c>
      <c r="Q129" s="49" t="s">
        <v>29</v>
      </c>
      <c r="R129" s="74">
        <v>2</v>
      </c>
      <c r="S129" s="50">
        <f t="shared" si="56"/>
        <v>40</v>
      </c>
      <c r="T129" s="74">
        <v>1</v>
      </c>
      <c r="U129" s="50">
        <f t="shared" si="57"/>
        <v>20</v>
      </c>
      <c r="V129" s="49" t="s">
        <v>858</v>
      </c>
      <c r="W129" s="74">
        <v>0</v>
      </c>
      <c r="X129" s="50">
        <f t="shared" si="58"/>
        <v>0</v>
      </c>
      <c r="Y129" s="51" t="str">
        <f t="shared" si="59"/>
        <v>No</v>
      </c>
      <c r="Z129" s="46" t="s">
        <v>35</v>
      </c>
      <c r="AA129" s="49" t="s">
        <v>23</v>
      </c>
      <c r="AB129" s="49" t="s">
        <v>23</v>
      </c>
      <c r="AC129" s="71" t="s">
        <v>26</v>
      </c>
      <c r="AD129" s="46" t="s">
        <v>27</v>
      </c>
      <c r="AE129" s="46" t="s">
        <v>155</v>
      </c>
      <c r="AF129" s="46" t="s">
        <v>29</v>
      </c>
      <c r="AG129" s="110"/>
      <c r="AH129" s="75">
        <v>55638</v>
      </c>
      <c r="AI129" s="75">
        <v>140187</v>
      </c>
      <c r="AJ129" s="109">
        <v>40.270000000000003</v>
      </c>
      <c r="AK129" s="104">
        <v>80.540000000000006</v>
      </c>
      <c r="AL129" s="109">
        <v>62.07</v>
      </c>
      <c r="AM129" s="109"/>
      <c r="AN129" s="53">
        <f t="shared" si="60"/>
        <v>124.14</v>
      </c>
      <c r="AO129" s="53">
        <v>21.8</v>
      </c>
      <c r="AP129" s="109"/>
      <c r="AQ129" s="109"/>
      <c r="AR129" s="109"/>
      <c r="AS129" s="109"/>
      <c r="AT129" s="109"/>
      <c r="AU129" s="109"/>
      <c r="AV129" s="109"/>
      <c r="AW129" s="109"/>
      <c r="AX129" s="109"/>
      <c r="AY129" s="109"/>
      <c r="AZ129" s="109"/>
      <c r="BA129" s="109"/>
      <c r="BB129" s="109"/>
      <c r="BC129" s="109"/>
      <c r="BD129" s="109"/>
      <c r="BE129" s="109"/>
      <c r="BF129" s="109"/>
      <c r="BG129" s="109"/>
      <c r="BH129" s="109"/>
      <c r="BI129" s="109"/>
      <c r="BJ129" s="109"/>
      <c r="BK129" s="109"/>
      <c r="BL129" s="109"/>
      <c r="BM129" s="109"/>
      <c r="BN129" s="109"/>
      <c r="BO129" s="109"/>
      <c r="BP129" s="109"/>
      <c r="BQ129" s="109"/>
      <c r="BR129" s="109"/>
      <c r="BS129" s="54" t="s">
        <v>29</v>
      </c>
      <c r="BT129" s="45" t="str">
        <f t="shared" si="64"/>
        <v>Yes</v>
      </c>
      <c r="BU129" s="45" t="str">
        <f t="shared" si="65"/>
        <v>No</v>
      </c>
      <c r="BV129" s="45" t="str">
        <f t="shared" si="66"/>
        <v>No</v>
      </c>
      <c r="BW129" s="55">
        <f>(151308/(151308+11618))*100</f>
        <v>92.869155322048044</v>
      </c>
      <c r="BX129" s="55">
        <f>(151308/(151308+11618))*100</f>
        <v>92.869155322048044</v>
      </c>
      <c r="BY129" s="55">
        <v>89.234155322048053</v>
      </c>
      <c r="BZ129" s="55">
        <f>BX129-(0.0727*100/2)</f>
        <v>89.234155322048039</v>
      </c>
      <c r="CA129" s="45">
        <v>2008</v>
      </c>
      <c r="CB129" s="55">
        <f t="shared" si="61"/>
        <v>58.201482158055342</v>
      </c>
      <c r="CC129" s="46" t="s">
        <v>150</v>
      </c>
      <c r="CD129" s="46" t="s">
        <v>151</v>
      </c>
      <c r="CE129" s="46" t="s">
        <v>783</v>
      </c>
      <c r="CF129" s="46">
        <v>2</v>
      </c>
      <c r="CG129" s="46" t="str">
        <f t="shared" si="62"/>
        <v>Yes</v>
      </c>
      <c r="CH129" s="46" t="s">
        <v>29</v>
      </c>
      <c r="CI129" s="56">
        <v>300</v>
      </c>
      <c r="CJ129" s="46">
        <v>50</v>
      </c>
      <c r="CK129" s="46" t="s">
        <v>23</v>
      </c>
      <c r="CL129" s="46" t="s">
        <v>29</v>
      </c>
      <c r="CM129" s="109">
        <v>0</v>
      </c>
      <c r="CN129" s="109"/>
      <c r="CO129" s="109"/>
      <c r="CP129" s="46" t="s">
        <v>23</v>
      </c>
      <c r="CQ129" s="46" t="s">
        <v>24</v>
      </c>
      <c r="CR129" s="46">
        <v>7</v>
      </c>
      <c r="CS129" s="46" t="s">
        <v>855</v>
      </c>
      <c r="CT129" s="71" t="s">
        <v>53</v>
      </c>
      <c r="CU129" s="46" t="s">
        <v>74</v>
      </c>
      <c r="CV129" s="46">
        <v>1</v>
      </c>
      <c r="CW129" s="46" t="s">
        <v>23</v>
      </c>
      <c r="CX129" s="49" t="s">
        <v>744</v>
      </c>
      <c r="CY129" s="49" t="s">
        <v>36</v>
      </c>
      <c r="CZ129" s="49">
        <v>0</v>
      </c>
      <c r="DA129" s="49">
        <v>1</v>
      </c>
      <c r="DB129" s="57">
        <v>240865</v>
      </c>
      <c r="DC129" s="58">
        <v>35.160000000000004</v>
      </c>
      <c r="DD129" s="58">
        <v>34.25</v>
      </c>
      <c r="DE129" s="58">
        <v>11.129999999999999</v>
      </c>
      <c r="DF129" s="58">
        <v>15.620000000000001</v>
      </c>
      <c r="DG129" s="58">
        <v>3.839999999999999</v>
      </c>
      <c r="DH129" s="58">
        <v>64.84</v>
      </c>
      <c r="DI129" s="45" t="s">
        <v>35</v>
      </c>
      <c r="DJ129" s="59" t="str">
        <f t="shared" si="63"/>
        <v>No single majority group</v>
      </c>
      <c r="DK129" s="76">
        <v>240865</v>
      </c>
      <c r="DL129" s="58">
        <v>35.160000000000004</v>
      </c>
      <c r="DM129" s="58">
        <v>34.25</v>
      </c>
      <c r="DN129" s="58">
        <v>11.129999999999999</v>
      </c>
      <c r="DO129" s="58">
        <v>64.84</v>
      </c>
      <c r="DP129" s="66">
        <v>53.15</v>
      </c>
      <c r="DQ129" s="72">
        <v>53980.4</v>
      </c>
      <c r="DR129" s="53">
        <v>18.7</v>
      </c>
      <c r="DS129" s="58">
        <v>71.8</v>
      </c>
      <c r="DT129" s="53">
        <v>42.4</v>
      </c>
      <c r="DU129" s="108">
        <v>2.4700000000000002</v>
      </c>
      <c r="DV129" s="109">
        <v>36</v>
      </c>
      <c r="DW129" s="53">
        <v>78.900000000000006</v>
      </c>
      <c r="DX129" s="53">
        <v>95.86</v>
      </c>
      <c r="DY129" s="53">
        <v>55.069699999999997</v>
      </c>
      <c r="DZ129" s="77"/>
    </row>
    <row r="130" spans="1:130" s="5" customFormat="1" ht="14.25" hidden="1" customHeight="1">
      <c r="A130" s="45">
        <v>1110</v>
      </c>
      <c r="B130" s="46" t="s">
        <v>110</v>
      </c>
      <c r="C130" s="47">
        <v>2008</v>
      </c>
      <c r="D130" s="47" t="s">
        <v>76</v>
      </c>
      <c r="E130" s="46" t="s">
        <v>77</v>
      </c>
      <c r="F130" s="46">
        <v>4</v>
      </c>
      <c r="G130" s="48">
        <v>82204</v>
      </c>
      <c r="H130" s="46" t="s">
        <v>249</v>
      </c>
      <c r="I130" s="46">
        <v>1</v>
      </c>
      <c r="J130" s="46">
        <v>2</v>
      </c>
      <c r="K130" s="49" t="s">
        <v>156</v>
      </c>
      <c r="L130" s="49" t="s">
        <v>40</v>
      </c>
      <c r="M130" s="49" t="s">
        <v>35</v>
      </c>
      <c r="N130" s="49" t="s">
        <v>513</v>
      </c>
      <c r="O130" s="49"/>
      <c r="P130" s="49" t="s">
        <v>31</v>
      </c>
      <c r="Q130" s="49" t="s">
        <v>29</v>
      </c>
      <c r="R130" s="49">
        <v>1</v>
      </c>
      <c r="S130" s="50">
        <f t="shared" si="56"/>
        <v>50</v>
      </c>
      <c r="T130" s="49">
        <v>1</v>
      </c>
      <c r="U130" s="50">
        <f t="shared" si="57"/>
        <v>50</v>
      </c>
      <c r="V130" s="49" t="s">
        <v>858</v>
      </c>
      <c r="W130" s="49">
        <v>0</v>
      </c>
      <c r="X130" s="50">
        <f t="shared" si="58"/>
        <v>0</v>
      </c>
      <c r="Y130" s="51" t="str">
        <f t="shared" si="59"/>
        <v>No</v>
      </c>
      <c r="Z130" s="49" t="s">
        <v>29</v>
      </c>
      <c r="AA130" s="49" t="s">
        <v>29</v>
      </c>
      <c r="AB130" s="45" t="s">
        <v>35</v>
      </c>
      <c r="AC130" s="46" t="s">
        <v>151</v>
      </c>
      <c r="AD130" s="46" t="s">
        <v>152</v>
      </c>
      <c r="AE130" s="46" t="s">
        <v>89</v>
      </c>
      <c r="AF130" s="46" t="s">
        <v>29</v>
      </c>
      <c r="AG130" s="103"/>
      <c r="AH130" s="52">
        <v>13820</v>
      </c>
      <c r="AI130" s="52">
        <v>13820</v>
      </c>
      <c r="AJ130" s="102">
        <v>72.650000000000006</v>
      </c>
      <c r="AK130" s="104">
        <v>145.30000000000001</v>
      </c>
      <c r="AL130" s="102">
        <v>72.650000000000006</v>
      </c>
      <c r="AM130" s="102"/>
      <c r="AN130" s="53">
        <f t="shared" si="60"/>
        <v>145.30000000000001</v>
      </c>
      <c r="AO130" s="53">
        <v>27.06</v>
      </c>
      <c r="AP130" s="102"/>
      <c r="AQ130" s="102"/>
      <c r="AR130" s="102"/>
      <c r="AS130" s="102"/>
      <c r="AT130" s="102"/>
      <c r="AU130" s="102"/>
      <c r="AV130" s="102"/>
      <c r="AW130" s="102"/>
      <c r="AX130" s="102"/>
      <c r="AY130" s="102"/>
      <c r="AZ130" s="102"/>
      <c r="BA130" s="102"/>
      <c r="BB130" s="102"/>
      <c r="BC130" s="102"/>
      <c r="BD130" s="102"/>
      <c r="BE130" s="102"/>
      <c r="BF130" s="102"/>
      <c r="BG130" s="102"/>
      <c r="BH130" s="102"/>
      <c r="BI130" s="102"/>
      <c r="BJ130" s="102"/>
      <c r="BK130" s="102"/>
      <c r="BL130" s="102"/>
      <c r="BM130" s="102"/>
      <c r="BN130" s="102"/>
      <c r="BO130" s="102"/>
      <c r="BP130" s="102"/>
      <c r="BQ130" s="102"/>
      <c r="BR130" s="102"/>
      <c r="BS130" s="54" t="s">
        <v>29</v>
      </c>
      <c r="BT130" s="45" t="str">
        <f t="shared" si="64"/>
        <v>No</v>
      </c>
      <c r="BU130" s="45" t="str">
        <f t="shared" si="65"/>
        <v>No</v>
      </c>
      <c r="BV130" s="45" t="str">
        <f t="shared" si="66"/>
        <v>No</v>
      </c>
      <c r="BW130" s="55">
        <f t="shared" ref="BW130:BW145" si="67">(151308/(151308+11618))*100</f>
        <v>92.869155322048044</v>
      </c>
      <c r="BX130" s="55"/>
      <c r="BY130" s="55">
        <v>89.234155322048053</v>
      </c>
      <c r="BZ130" s="55"/>
      <c r="CA130" s="45">
        <v>2008</v>
      </c>
      <c r="CB130" s="55">
        <f t="shared" si="61"/>
        <v>30.464014107792352</v>
      </c>
      <c r="CC130" s="46" t="s">
        <v>150</v>
      </c>
      <c r="CD130" s="46" t="s">
        <v>151</v>
      </c>
      <c r="CE130" s="46" t="s">
        <v>783</v>
      </c>
      <c r="CF130" s="46">
        <v>2</v>
      </c>
      <c r="CG130" s="46" t="str">
        <f t="shared" si="62"/>
        <v>Yes</v>
      </c>
      <c r="CH130" s="46" t="s">
        <v>29</v>
      </c>
      <c r="CI130" s="56">
        <v>300</v>
      </c>
      <c r="CJ130" s="46">
        <v>50</v>
      </c>
      <c r="CK130" s="46" t="s">
        <v>23</v>
      </c>
      <c r="CL130" s="49" t="s">
        <v>35</v>
      </c>
      <c r="CM130" s="50">
        <v>0</v>
      </c>
      <c r="CN130" s="50"/>
      <c r="CO130" s="50"/>
      <c r="CP130" s="46" t="s">
        <v>23</v>
      </c>
      <c r="CQ130" s="46" t="s">
        <v>24</v>
      </c>
      <c r="CR130" s="46">
        <v>7</v>
      </c>
      <c r="CS130" s="46" t="s">
        <v>855</v>
      </c>
      <c r="CT130" s="46" t="s">
        <v>856</v>
      </c>
      <c r="CU130" s="46" t="s">
        <v>74</v>
      </c>
      <c r="CV130" s="46">
        <v>1</v>
      </c>
      <c r="CW130" s="46" t="s">
        <v>23</v>
      </c>
      <c r="CX130" s="49" t="s">
        <v>744</v>
      </c>
      <c r="CY130" s="49" t="s">
        <v>36</v>
      </c>
      <c r="CZ130" s="49">
        <v>0</v>
      </c>
      <c r="DA130" s="49">
        <v>1</v>
      </c>
      <c r="DB130" s="64">
        <v>45365</v>
      </c>
      <c r="DC130" s="58">
        <v>59.3</v>
      </c>
      <c r="DD130" s="58">
        <v>21.27</v>
      </c>
      <c r="DE130" s="58">
        <v>6.8500000000000005</v>
      </c>
      <c r="DF130" s="58">
        <v>8.67</v>
      </c>
      <c r="DG130" s="58">
        <v>3.9127080348286123</v>
      </c>
      <c r="DH130" s="58">
        <v>40.700000000000003</v>
      </c>
      <c r="DI130" s="45" t="s">
        <v>29</v>
      </c>
      <c r="DJ130" s="59" t="str">
        <f t="shared" si="63"/>
        <v>N/A</v>
      </c>
      <c r="DK130" s="65">
        <v>45365</v>
      </c>
      <c r="DL130" s="58">
        <v>59.3</v>
      </c>
      <c r="DM130" s="58">
        <v>21.27</v>
      </c>
      <c r="DN130" s="58">
        <v>6.8500000000000005</v>
      </c>
      <c r="DO130" s="58">
        <v>40.700000000000003</v>
      </c>
      <c r="DP130" s="66">
        <v>53.15</v>
      </c>
      <c r="DQ130" s="67">
        <v>53980.4</v>
      </c>
      <c r="DR130" s="53">
        <v>18.7</v>
      </c>
      <c r="DS130" s="58">
        <v>71.8</v>
      </c>
      <c r="DT130" s="53">
        <v>42.4</v>
      </c>
      <c r="DU130" s="55">
        <v>2.4700000000000002</v>
      </c>
      <c r="DV130" s="50">
        <v>36</v>
      </c>
      <c r="DW130" s="53">
        <v>78.900000000000006</v>
      </c>
      <c r="DX130" s="53">
        <v>95.86</v>
      </c>
      <c r="DY130" s="53">
        <v>55.069699999999997</v>
      </c>
      <c r="DZ130" s="63"/>
    </row>
    <row r="131" spans="1:130" s="5" customFormat="1" ht="14.25" hidden="1" customHeight="1">
      <c r="A131" s="45">
        <v>1112</v>
      </c>
      <c r="B131" s="46" t="s">
        <v>110</v>
      </c>
      <c r="C131" s="47">
        <v>2008</v>
      </c>
      <c r="D131" s="47" t="s">
        <v>94</v>
      </c>
      <c r="E131" s="46" t="s">
        <v>95</v>
      </c>
      <c r="F131" s="46">
        <v>4</v>
      </c>
      <c r="G131" s="48">
        <v>82204</v>
      </c>
      <c r="H131" s="46" t="s">
        <v>249</v>
      </c>
      <c r="I131" s="46">
        <v>1</v>
      </c>
      <c r="J131" s="46">
        <v>3</v>
      </c>
      <c r="K131" s="49" t="s">
        <v>157</v>
      </c>
      <c r="L131" s="49" t="s">
        <v>40</v>
      </c>
      <c r="M131" s="49" t="s">
        <v>35</v>
      </c>
      <c r="N131" s="49" t="s">
        <v>513</v>
      </c>
      <c r="O131" s="49"/>
      <c r="P131" s="49" t="s">
        <v>31</v>
      </c>
      <c r="Q131" s="49" t="s">
        <v>29</v>
      </c>
      <c r="R131" s="49">
        <v>1</v>
      </c>
      <c r="S131" s="50">
        <f t="shared" si="56"/>
        <v>33.333333333333329</v>
      </c>
      <c r="T131" s="49">
        <v>1</v>
      </c>
      <c r="U131" s="50">
        <f t="shared" si="57"/>
        <v>33.333333333333329</v>
      </c>
      <c r="V131" s="49" t="s">
        <v>858</v>
      </c>
      <c r="W131" s="49">
        <v>0</v>
      </c>
      <c r="X131" s="50">
        <f t="shared" si="58"/>
        <v>0</v>
      </c>
      <c r="Y131" s="51" t="str">
        <f t="shared" si="59"/>
        <v>No</v>
      </c>
      <c r="Z131" s="49" t="s">
        <v>29</v>
      </c>
      <c r="AA131" s="49" t="s">
        <v>29</v>
      </c>
      <c r="AB131" s="45" t="s">
        <v>35</v>
      </c>
      <c r="AC131" s="46" t="s">
        <v>151</v>
      </c>
      <c r="AD131" s="46" t="s">
        <v>152</v>
      </c>
      <c r="AE131" s="46" t="s">
        <v>89</v>
      </c>
      <c r="AF131" s="46" t="s">
        <v>29</v>
      </c>
      <c r="AG131" s="103"/>
      <c r="AH131" s="52">
        <v>8777</v>
      </c>
      <c r="AI131" s="52">
        <v>8777</v>
      </c>
      <c r="AJ131" s="102">
        <v>51.3</v>
      </c>
      <c r="AK131" s="104">
        <v>102.6</v>
      </c>
      <c r="AL131" s="102">
        <v>51.3</v>
      </c>
      <c r="AM131" s="102"/>
      <c r="AN131" s="53">
        <f t="shared" si="60"/>
        <v>102.6</v>
      </c>
      <c r="AO131" s="53">
        <v>27.09</v>
      </c>
      <c r="AP131" s="102"/>
      <c r="AQ131" s="102"/>
      <c r="AR131" s="50"/>
      <c r="AS131" s="50"/>
      <c r="AT131" s="102"/>
      <c r="AU131" s="102"/>
      <c r="AV131" s="50"/>
      <c r="AW131" s="50"/>
      <c r="AX131" s="50"/>
      <c r="AY131" s="50"/>
      <c r="AZ131" s="102"/>
      <c r="BA131" s="102"/>
      <c r="BB131" s="102"/>
      <c r="BC131" s="102"/>
      <c r="BD131" s="50"/>
      <c r="BE131" s="50"/>
      <c r="BF131" s="50"/>
      <c r="BG131" s="50"/>
      <c r="BH131" s="102"/>
      <c r="BI131" s="102"/>
      <c r="BJ131" s="50"/>
      <c r="BK131" s="50"/>
      <c r="BL131" s="50"/>
      <c r="BM131" s="50"/>
      <c r="BN131" s="102"/>
      <c r="BO131" s="50"/>
      <c r="BP131" s="50"/>
      <c r="BQ131" s="50"/>
      <c r="BR131" s="102"/>
      <c r="BS131" s="54" t="s">
        <v>29</v>
      </c>
      <c r="BT131" s="45" t="str">
        <f t="shared" si="64"/>
        <v>Yes</v>
      </c>
      <c r="BU131" s="45" t="str">
        <f t="shared" si="65"/>
        <v>No</v>
      </c>
      <c r="BV131" s="45" t="str">
        <f t="shared" si="66"/>
        <v>No</v>
      </c>
      <c r="BW131" s="55">
        <f t="shared" si="67"/>
        <v>92.869155322048044</v>
      </c>
      <c r="BX131" s="55"/>
      <c r="BY131" s="55">
        <v>89.234155322048053</v>
      </c>
      <c r="BZ131" s="55"/>
      <c r="CA131" s="45">
        <v>2008</v>
      </c>
      <c r="CB131" s="55">
        <f t="shared" si="61"/>
        <v>22.999318693988783</v>
      </c>
      <c r="CC131" s="46" t="s">
        <v>150</v>
      </c>
      <c r="CD131" s="46" t="s">
        <v>151</v>
      </c>
      <c r="CE131" s="46" t="s">
        <v>783</v>
      </c>
      <c r="CF131" s="46">
        <v>2</v>
      </c>
      <c r="CG131" s="46" t="str">
        <f t="shared" si="62"/>
        <v>Yes</v>
      </c>
      <c r="CH131" s="46" t="s">
        <v>29</v>
      </c>
      <c r="CI131" s="56">
        <v>300</v>
      </c>
      <c r="CJ131" s="46">
        <v>50</v>
      </c>
      <c r="CK131" s="46" t="s">
        <v>23</v>
      </c>
      <c r="CL131" s="49" t="s">
        <v>35</v>
      </c>
      <c r="CM131" s="50">
        <f>(2/3)*100</f>
        <v>66.666666666666657</v>
      </c>
      <c r="CN131" s="50"/>
      <c r="CO131" s="50"/>
      <c r="CP131" s="46" t="s">
        <v>23</v>
      </c>
      <c r="CQ131" s="46" t="s">
        <v>24</v>
      </c>
      <c r="CR131" s="46">
        <v>7</v>
      </c>
      <c r="CS131" s="46" t="s">
        <v>855</v>
      </c>
      <c r="CT131" s="46" t="s">
        <v>856</v>
      </c>
      <c r="CU131" s="46" t="s">
        <v>74</v>
      </c>
      <c r="CV131" s="46">
        <v>1</v>
      </c>
      <c r="CW131" s="46" t="s">
        <v>23</v>
      </c>
      <c r="CX131" s="49" t="s">
        <v>744</v>
      </c>
      <c r="CY131" s="49" t="s">
        <v>36</v>
      </c>
      <c r="CZ131" s="49">
        <v>0</v>
      </c>
      <c r="DA131" s="49">
        <v>1</v>
      </c>
      <c r="DB131" s="64">
        <v>38162</v>
      </c>
      <c r="DC131" s="58">
        <v>32.07</v>
      </c>
      <c r="DD131" s="58">
        <v>38.269999999999996</v>
      </c>
      <c r="DE131" s="58">
        <v>6.93</v>
      </c>
      <c r="DF131" s="58">
        <v>18.170000000000002</v>
      </c>
      <c r="DG131" s="58">
        <v>4.60667679890991</v>
      </c>
      <c r="DH131" s="58">
        <v>67.930000000000007</v>
      </c>
      <c r="DI131" s="45" t="s">
        <v>35</v>
      </c>
      <c r="DJ131" s="59" t="str">
        <f t="shared" si="63"/>
        <v>No single majority group</v>
      </c>
      <c r="DK131" s="65">
        <v>38162</v>
      </c>
      <c r="DL131" s="58">
        <v>32.07</v>
      </c>
      <c r="DM131" s="58">
        <v>38.269999999999996</v>
      </c>
      <c r="DN131" s="58">
        <v>6.93</v>
      </c>
      <c r="DO131" s="58">
        <v>67.930000000000007</v>
      </c>
      <c r="DP131" s="66">
        <v>53.15</v>
      </c>
      <c r="DQ131" s="67">
        <v>53980.4</v>
      </c>
      <c r="DR131" s="53">
        <v>18.7</v>
      </c>
      <c r="DS131" s="58">
        <v>71.8</v>
      </c>
      <c r="DT131" s="53">
        <v>42.4</v>
      </c>
      <c r="DU131" s="55">
        <v>2.4700000000000002</v>
      </c>
      <c r="DV131" s="50">
        <v>36</v>
      </c>
      <c r="DW131" s="53">
        <v>78.900000000000006</v>
      </c>
      <c r="DX131" s="53">
        <v>95.86</v>
      </c>
      <c r="DY131" s="53">
        <v>55.069699999999997</v>
      </c>
      <c r="DZ131" s="63"/>
    </row>
    <row r="132" spans="1:130" s="5" customFormat="1" ht="14.25" hidden="1" customHeight="1">
      <c r="A132" s="45">
        <v>1114</v>
      </c>
      <c r="B132" s="46" t="s">
        <v>110</v>
      </c>
      <c r="C132" s="47">
        <v>2008</v>
      </c>
      <c r="D132" s="47" t="s">
        <v>97</v>
      </c>
      <c r="E132" s="46" t="s">
        <v>98</v>
      </c>
      <c r="F132" s="46">
        <v>4</v>
      </c>
      <c r="G132" s="48">
        <v>82204</v>
      </c>
      <c r="H132" s="46" t="s">
        <v>249</v>
      </c>
      <c r="I132" s="46">
        <v>1</v>
      </c>
      <c r="J132" s="46">
        <v>4</v>
      </c>
      <c r="K132" s="49" t="s">
        <v>158</v>
      </c>
      <c r="L132" s="49" t="s">
        <v>30</v>
      </c>
      <c r="M132" s="49" t="s">
        <v>29</v>
      </c>
      <c r="N132" s="49" t="s">
        <v>513</v>
      </c>
      <c r="O132" s="49"/>
      <c r="P132" s="49" t="s">
        <v>857</v>
      </c>
      <c r="Q132" s="49" t="s">
        <v>35</v>
      </c>
      <c r="R132" s="49">
        <v>1</v>
      </c>
      <c r="S132" s="50">
        <f t="shared" si="56"/>
        <v>25</v>
      </c>
      <c r="T132" s="49">
        <v>4</v>
      </c>
      <c r="U132" s="50">
        <f t="shared" si="57"/>
        <v>100</v>
      </c>
      <c r="V132" s="49" t="s">
        <v>890</v>
      </c>
      <c r="W132" s="49">
        <v>1</v>
      </c>
      <c r="X132" s="50">
        <f t="shared" si="58"/>
        <v>25</v>
      </c>
      <c r="Y132" s="51" t="str">
        <f t="shared" si="59"/>
        <v>No</v>
      </c>
      <c r="Z132" s="49" t="s">
        <v>29</v>
      </c>
      <c r="AA132" s="49" t="s">
        <v>35</v>
      </c>
      <c r="AB132" s="49" t="s">
        <v>29</v>
      </c>
      <c r="AC132" s="46" t="s">
        <v>151</v>
      </c>
      <c r="AD132" s="46" t="s">
        <v>152</v>
      </c>
      <c r="AE132" s="46" t="s">
        <v>89</v>
      </c>
      <c r="AF132" s="46" t="s">
        <v>29</v>
      </c>
      <c r="AG132" s="103"/>
      <c r="AH132" s="52">
        <v>5668</v>
      </c>
      <c r="AI132" s="52">
        <v>5668</v>
      </c>
      <c r="AJ132" s="102">
        <v>53.79</v>
      </c>
      <c r="AK132" s="104">
        <v>107.58</v>
      </c>
      <c r="AL132" s="102">
        <v>53.79</v>
      </c>
      <c r="AM132" s="102"/>
      <c r="AN132" s="53">
        <f t="shared" si="60"/>
        <v>107.58</v>
      </c>
      <c r="AO132" s="53">
        <v>33.19</v>
      </c>
      <c r="AP132" s="102"/>
      <c r="AQ132" s="102"/>
      <c r="AR132" s="102"/>
      <c r="AS132" s="102"/>
      <c r="AT132" s="102"/>
      <c r="AU132" s="102"/>
      <c r="AV132" s="102"/>
      <c r="AW132" s="102"/>
      <c r="AX132" s="102"/>
      <c r="AY132" s="102"/>
      <c r="AZ132" s="102"/>
      <c r="BA132" s="102"/>
      <c r="BB132" s="102"/>
      <c r="BC132" s="102"/>
      <c r="BD132" s="102"/>
      <c r="BE132" s="102"/>
      <c r="BF132" s="102"/>
      <c r="BG132" s="102"/>
      <c r="BH132" s="102"/>
      <c r="BI132" s="102"/>
      <c r="BJ132" s="102"/>
      <c r="BK132" s="102"/>
      <c r="BL132" s="102"/>
      <c r="BM132" s="102"/>
      <c r="BN132" s="102"/>
      <c r="BO132" s="102"/>
      <c r="BP132" s="102"/>
      <c r="BQ132" s="102"/>
      <c r="BR132" s="102"/>
      <c r="BS132" s="54" t="s">
        <v>29</v>
      </c>
      <c r="BT132" s="45" t="str">
        <f t="shared" si="64"/>
        <v>Yes</v>
      </c>
      <c r="BU132" s="45" t="str">
        <f t="shared" si="65"/>
        <v>No</v>
      </c>
      <c r="BV132" s="45" t="str">
        <f t="shared" si="66"/>
        <v>No</v>
      </c>
      <c r="BW132" s="55">
        <f t="shared" si="67"/>
        <v>92.869155322048044</v>
      </c>
      <c r="BX132" s="55"/>
      <c r="BY132" s="55">
        <v>89.234155322048053</v>
      </c>
      <c r="BZ132" s="55"/>
      <c r="CA132" s="45">
        <v>2008</v>
      </c>
      <c r="CB132" s="55">
        <f t="shared" si="61"/>
        <v>21.401600966621356</v>
      </c>
      <c r="CC132" s="46" t="s">
        <v>150</v>
      </c>
      <c r="CD132" s="46" t="s">
        <v>151</v>
      </c>
      <c r="CE132" s="46" t="s">
        <v>783</v>
      </c>
      <c r="CF132" s="46">
        <v>2</v>
      </c>
      <c r="CG132" s="46" t="str">
        <f t="shared" si="62"/>
        <v>Yes</v>
      </c>
      <c r="CH132" s="46" t="s">
        <v>29</v>
      </c>
      <c r="CI132" s="56">
        <v>300</v>
      </c>
      <c r="CJ132" s="46">
        <v>50</v>
      </c>
      <c r="CK132" s="46" t="s">
        <v>23</v>
      </c>
      <c r="CL132" s="49" t="s">
        <v>35</v>
      </c>
      <c r="CM132" s="50">
        <v>0</v>
      </c>
      <c r="CN132" s="50"/>
      <c r="CO132" s="50"/>
      <c r="CP132" s="46" t="s">
        <v>23</v>
      </c>
      <c r="CQ132" s="46" t="s">
        <v>24</v>
      </c>
      <c r="CR132" s="46">
        <v>7</v>
      </c>
      <c r="CS132" s="46" t="s">
        <v>855</v>
      </c>
      <c r="CT132" s="46" t="s">
        <v>856</v>
      </c>
      <c r="CU132" s="46" t="s">
        <v>74</v>
      </c>
      <c r="CV132" s="46">
        <v>1</v>
      </c>
      <c r="CW132" s="46" t="s">
        <v>23</v>
      </c>
      <c r="CX132" s="49" t="s">
        <v>744</v>
      </c>
      <c r="CY132" s="49" t="s">
        <v>36</v>
      </c>
      <c r="CZ132" s="49">
        <v>0</v>
      </c>
      <c r="DA132" s="49">
        <v>1</v>
      </c>
      <c r="DB132" s="64">
        <v>26484</v>
      </c>
      <c r="DC132" s="58">
        <v>24.21</v>
      </c>
      <c r="DD132" s="58">
        <v>28.43</v>
      </c>
      <c r="DE132" s="58">
        <v>21.58</v>
      </c>
      <c r="DF132" s="58">
        <v>20.849999999999998</v>
      </c>
      <c r="DG132" s="58">
        <v>4.9312792629512163</v>
      </c>
      <c r="DH132" s="58">
        <v>75.790000000000006</v>
      </c>
      <c r="DI132" s="45" t="s">
        <v>35</v>
      </c>
      <c r="DJ132" s="59" t="str">
        <f t="shared" si="63"/>
        <v>No single majority group</v>
      </c>
      <c r="DK132" s="65">
        <v>26484</v>
      </c>
      <c r="DL132" s="58">
        <v>24.21</v>
      </c>
      <c r="DM132" s="58">
        <v>28.43</v>
      </c>
      <c r="DN132" s="58">
        <v>21.58</v>
      </c>
      <c r="DO132" s="58">
        <v>75.790000000000006</v>
      </c>
      <c r="DP132" s="66">
        <v>53.15</v>
      </c>
      <c r="DQ132" s="67">
        <v>53980.4</v>
      </c>
      <c r="DR132" s="53">
        <v>18.7</v>
      </c>
      <c r="DS132" s="58">
        <v>71.8</v>
      </c>
      <c r="DT132" s="53">
        <v>42.4</v>
      </c>
      <c r="DU132" s="55">
        <v>2.4700000000000002</v>
      </c>
      <c r="DV132" s="50">
        <v>36</v>
      </c>
      <c r="DW132" s="53">
        <v>78.900000000000006</v>
      </c>
      <c r="DX132" s="53">
        <v>95.86</v>
      </c>
      <c r="DY132" s="53">
        <v>55.069699999999997</v>
      </c>
      <c r="DZ132" s="63"/>
    </row>
    <row r="133" spans="1:130" s="5" customFormat="1" ht="14.25" hidden="1" customHeight="1">
      <c r="A133" s="45">
        <v>1116</v>
      </c>
      <c r="B133" s="46" t="s">
        <v>110</v>
      </c>
      <c r="C133" s="47">
        <v>2008</v>
      </c>
      <c r="D133" s="47" t="s">
        <v>82</v>
      </c>
      <c r="E133" s="46" t="s">
        <v>83</v>
      </c>
      <c r="F133" s="46">
        <v>4</v>
      </c>
      <c r="G133" s="48">
        <v>82204</v>
      </c>
      <c r="H133" s="46" t="s">
        <v>249</v>
      </c>
      <c r="I133" s="46">
        <v>1</v>
      </c>
      <c r="J133" s="46">
        <v>2</v>
      </c>
      <c r="K133" s="49" t="s">
        <v>140</v>
      </c>
      <c r="L133" s="49" t="s">
        <v>30</v>
      </c>
      <c r="M133" s="49" t="s">
        <v>29</v>
      </c>
      <c r="N133" s="49" t="s">
        <v>513</v>
      </c>
      <c r="O133" s="49"/>
      <c r="P133" s="49" t="s">
        <v>201</v>
      </c>
      <c r="Q133" s="49" t="s">
        <v>35</v>
      </c>
      <c r="R133" s="49">
        <v>0</v>
      </c>
      <c r="S133" s="50">
        <f t="shared" si="56"/>
        <v>0</v>
      </c>
      <c r="T133" s="49">
        <v>2</v>
      </c>
      <c r="U133" s="50">
        <f t="shared" si="57"/>
        <v>100</v>
      </c>
      <c r="V133" s="49" t="s">
        <v>867</v>
      </c>
      <c r="W133" s="49">
        <v>0</v>
      </c>
      <c r="X133" s="50">
        <f t="shared" si="58"/>
        <v>0</v>
      </c>
      <c r="Y133" s="51" t="str">
        <f t="shared" si="59"/>
        <v>No</v>
      </c>
      <c r="Z133" s="49" t="s">
        <v>29</v>
      </c>
      <c r="AA133" s="49" t="s">
        <v>35</v>
      </c>
      <c r="AB133" s="49" t="s">
        <v>29</v>
      </c>
      <c r="AC133" s="46" t="s">
        <v>151</v>
      </c>
      <c r="AD133" s="46" t="s">
        <v>152</v>
      </c>
      <c r="AE133" s="46" t="s">
        <v>89</v>
      </c>
      <c r="AF133" s="46" t="s">
        <v>29</v>
      </c>
      <c r="AG133" s="103"/>
      <c r="AH133" s="52">
        <v>6081</v>
      </c>
      <c r="AI133" s="52">
        <v>6081</v>
      </c>
      <c r="AJ133" s="102">
        <v>62.44</v>
      </c>
      <c r="AK133" s="104">
        <v>124.88</v>
      </c>
      <c r="AL133" s="102">
        <v>62.44</v>
      </c>
      <c r="AM133" s="102"/>
      <c r="AN133" s="53">
        <f t="shared" si="60"/>
        <v>124.88</v>
      </c>
      <c r="AO133" s="53">
        <v>37</v>
      </c>
      <c r="AP133" s="102"/>
      <c r="AQ133" s="102"/>
      <c r="AR133" s="50"/>
      <c r="AS133" s="50"/>
      <c r="AT133" s="102"/>
      <c r="AU133" s="102"/>
      <c r="AV133" s="50"/>
      <c r="AW133" s="50"/>
      <c r="AX133" s="50"/>
      <c r="AY133" s="50"/>
      <c r="AZ133" s="102"/>
      <c r="BA133" s="102"/>
      <c r="BB133" s="102"/>
      <c r="BC133" s="102"/>
      <c r="BD133" s="50"/>
      <c r="BE133" s="50"/>
      <c r="BF133" s="50"/>
      <c r="BG133" s="50"/>
      <c r="BH133" s="102"/>
      <c r="BI133" s="102"/>
      <c r="BJ133" s="50"/>
      <c r="BK133" s="50"/>
      <c r="BL133" s="50"/>
      <c r="BM133" s="50"/>
      <c r="BN133" s="102"/>
      <c r="BO133" s="50"/>
      <c r="BP133" s="50"/>
      <c r="BQ133" s="50"/>
      <c r="BR133" s="102"/>
      <c r="BS133" s="54" t="s">
        <v>29</v>
      </c>
      <c r="BT133" s="45" t="str">
        <f t="shared" si="64"/>
        <v>Yes</v>
      </c>
      <c r="BU133" s="45" t="str">
        <f t="shared" si="65"/>
        <v>No</v>
      </c>
      <c r="BV133" s="45" t="str">
        <f t="shared" si="66"/>
        <v>No</v>
      </c>
      <c r="BW133" s="55">
        <f t="shared" si="67"/>
        <v>92.869155322048044</v>
      </c>
      <c r="BX133" s="55"/>
      <c r="BY133" s="55">
        <v>89.234155322048053</v>
      </c>
      <c r="BZ133" s="55"/>
      <c r="CA133" s="45">
        <v>2008</v>
      </c>
      <c r="CB133" s="55">
        <f t="shared" si="61"/>
        <v>21.224390073644901</v>
      </c>
      <c r="CC133" s="46" t="s">
        <v>150</v>
      </c>
      <c r="CD133" s="46" t="s">
        <v>151</v>
      </c>
      <c r="CE133" s="46" t="s">
        <v>783</v>
      </c>
      <c r="CF133" s="46">
        <v>2</v>
      </c>
      <c r="CG133" s="46" t="str">
        <f t="shared" si="62"/>
        <v>Yes</v>
      </c>
      <c r="CH133" s="46" t="s">
        <v>29</v>
      </c>
      <c r="CI133" s="56">
        <v>300</v>
      </c>
      <c r="CJ133" s="46">
        <v>50</v>
      </c>
      <c r="CK133" s="46" t="s">
        <v>23</v>
      </c>
      <c r="CL133" s="49" t="s">
        <v>35</v>
      </c>
      <c r="CM133" s="50">
        <f>(1/2)*100</f>
        <v>50</v>
      </c>
      <c r="CN133" s="50"/>
      <c r="CO133" s="50"/>
      <c r="CP133" s="46" t="s">
        <v>23</v>
      </c>
      <c r="CQ133" s="46" t="s">
        <v>24</v>
      </c>
      <c r="CR133" s="46">
        <v>7</v>
      </c>
      <c r="CS133" s="46" t="s">
        <v>855</v>
      </c>
      <c r="CT133" s="46" t="s">
        <v>856</v>
      </c>
      <c r="CU133" s="46" t="s">
        <v>74</v>
      </c>
      <c r="CV133" s="46">
        <v>1</v>
      </c>
      <c r="CW133" s="46" t="s">
        <v>23</v>
      </c>
      <c r="CX133" s="49" t="s">
        <v>744</v>
      </c>
      <c r="CY133" s="49" t="s">
        <v>36</v>
      </c>
      <c r="CZ133" s="49">
        <v>0</v>
      </c>
      <c r="DA133" s="49">
        <v>1</v>
      </c>
      <c r="DB133" s="64">
        <v>28651</v>
      </c>
      <c r="DC133" s="58">
        <v>11.690000000000001</v>
      </c>
      <c r="DD133" s="58">
        <v>60.940000000000005</v>
      </c>
      <c r="DE133" s="58">
        <v>18.240000000000002</v>
      </c>
      <c r="DF133" s="58">
        <v>5.3</v>
      </c>
      <c r="DG133" s="58">
        <v>3.905622840389515</v>
      </c>
      <c r="DH133" s="58">
        <v>88.31</v>
      </c>
      <c r="DI133" s="45" t="s">
        <v>35</v>
      </c>
      <c r="DJ133" s="59" t="str">
        <f t="shared" si="63"/>
        <v>African American</v>
      </c>
      <c r="DK133" s="65">
        <v>28651</v>
      </c>
      <c r="DL133" s="58">
        <v>11.690000000000001</v>
      </c>
      <c r="DM133" s="58">
        <v>60.940000000000005</v>
      </c>
      <c r="DN133" s="58">
        <v>18.240000000000002</v>
      </c>
      <c r="DO133" s="58">
        <v>88.31</v>
      </c>
      <c r="DP133" s="66">
        <v>53.15</v>
      </c>
      <c r="DQ133" s="67">
        <v>53980.4</v>
      </c>
      <c r="DR133" s="53">
        <v>18.7</v>
      </c>
      <c r="DS133" s="58">
        <v>71.8</v>
      </c>
      <c r="DT133" s="53">
        <v>42.4</v>
      </c>
      <c r="DU133" s="55">
        <v>2.4700000000000002</v>
      </c>
      <c r="DV133" s="50">
        <v>36</v>
      </c>
      <c r="DW133" s="53">
        <v>78.900000000000006</v>
      </c>
      <c r="DX133" s="53">
        <v>95.86</v>
      </c>
      <c r="DY133" s="53">
        <v>55.069699999999997</v>
      </c>
      <c r="DZ133" s="63"/>
    </row>
    <row r="134" spans="1:130" s="5" customFormat="1" ht="14.25" hidden="1" customHeight="1">
      <c r="A134" s="45">
        <v>1111</v>
      </c>
      <c r="B134" s="46" t="s">
        <v>110</v>
      </c>
      <c r="C134" s="47">
        <v>2008</v>
      </c>
      <c r="D134" s="47" t="s">
        <v>130</v>
      </c>
      <c r="E134" s="46" t="s">
        <v>77</v>
      </c>
      <c r="F134" s="46">
        <v>4</v>
      </c>
      <c r="G134" s="48">
        <v>10000</v>
      </c>
      <c r="H134" s="46" t="s">
        <v>332</v>
      </c>
      <c r="I134" s="46">
        <v>1</v>
      </c>
      <c r="J134" s="46">
        <v>3</v>
      </c>
      <c r="K134" s="49" t="s">
        <v>131</v>
      </c>
      <c r="L134" s="49" t="s">
        <v>40</v>
      </c>
      <c r="M134" s="49" t="s">
        <v>35</v>
      </c>
      <c r="N134" s="49"/>
      <c r="O134" s="49"/>
      <c r="P134" s="49" t="s">
        <v>31</v>
      </c>
      <c r="Q134" s="49" t="s">
        <v>29</v>
      </c>
      <c r="R134" s="49">
        <v>2</v>
      </c>
      <c r="S134" s="50">
        <f t="shared" si="56"/>
        <v>66.666666666666657</v>
      </c>
      <c r="T134" s="49">
        <v>0</v>
      </c>
      <c r="U134" s="50">
        <f t="shared" si="57"/>
        <v>0</v>
      </c>
      <c r="V134" s="45"/>
      <c r="W134" s="49">
        <v>0</v>
      </c>
      <c r="X134" s="50">
        <f t="shared" si="58"/>
        <v>0</v>
      </c>
      <c r="Y134" s="51" t="str">
        <f t="shared" si="59"/>
        <v>No</v>
      </c>
      <c r="Z134" s="45"/>
      <c r="AA134" s="45"/>
      <c r="AB134" s="45"/>
      <c r="AC134" s="46" t="s">
        <v>151</v>
      </c>
      <c r="AD134" s="46" t="s">
        <v>152</v>
      </c>
      <c r="AE134" s="46" t="s">
        <v>155</v>
      </c>
      <c r="AF134" s="46" t="s">
        <v>29</v>
      </c>
      <c r="AG134" s="103"/>
      <c r="AH134" s="52">
        <v>13150</v>
      </c>
      <c r="AI134" s="52">
        <v>13150</v>
      </c>
      <c r="AJ134" s="102">
        <v>56.35</v>
      </c>
      <c r="AK134" s="104">
        <v>112.7</v>
      </c>
      <c r="AL134" s="102">
        <v>56.35</v>
      </c>
      <c r="AM134" s="102"/>
      <c r="AN134" s="53">
        <f t="shared" si="60"/>
        <v>112.7</v>
      </c>
      <c r="AO134" s="53"/>
      <c r="AP134" s="102"/>
      <c r="AQ134" s="102"/>
      <c r="AR134" s="50"/>
      <c r="AS134" s="50"/>
      <c r="AT134" s="102"/>
      <c r="AU134" s="102"/>
      <c r="AV134" s="50"/>
      <c r="AW134" s="50"/>
      <c r="AX134" s="50"/>
      <c r="AY134" s="50"/>
      <c r="AZ134" s="102"/>
      <c r="BA134" s="102"/>
      <c r="BB134" s="102"/>
      <c r="BC134" s="102"/>
      <c r="BD134" s="50"/>
      <c r="BE134" s="50"/>
      <c r="BF134" s="50"/>
      <c r="BG134" s="50"/>
      <c r="BH134" s="102"/>
      <c r="BI134" s="102"/>
      <c r="BJ134" s="50"/>
      <c r="BK134" s="50"/>
      <c r="BL134" s="50"/>
      <c r="BM134" s="50"/>
      <c r="BN134" s="102"/>
      <c r="BO134" s="50"/>
      <c r="BP134" s="50"/>
      <c r="BQ134" s="50"/>
      <c r="BR134" s="102"/>
      <c r="BS134" s="54"/>
      <c r="BT134" s="45"/>
      <c r="BU134" s="45"/>
      <c r="BV134" s="45"/>
      <c r="BW134" s="55">
        <f t="shared" si="67"/>
        <v>92.869155322048044</v>
      </c>
      <c r="BX134" s="55"/>
      <c r="BY134" s="55">
        <v>89.234155322048053</v>
      </c>
      <c r="BZ134" s="55"/>
      <c r="CA134" s="45">
        <v>2008</v>
      </c>
      <c r="CB134" s="55">
        <f t="shared" si="61"/>
        <v>28.987104596054223</v>
      </c>
      <c r="CC134" s="46" t="s">
        <v>150</v>
      </c>
      <c r="CD134" s="46" t="s">
        <v>151</v>
      </c>
      <c r="CE134" s="46" t="s">
        <v>783</v>
      </c>
      <c r="CF134" s="46">
        <v>2</v>
      </c>
      <c r="CG134" s="46" t="str">
        <f t="shared" si="62"/>
        <v>Yes</v>
      </c>
      <c r="CH134" s="46" t="s">
        <v>29</v>
      </c>
      <c r="CI134" s="56">
        <v>300</v>
      </c>
      <c r="CJ134" s="46">
        <v>50</v>
      </c>
      <c r="CK134" s="46" t="s">
        <v>23</v>
      </c>
      <c r="CL134" s="49" t="s">
        <v>29</v>
      </c>
      <c r="CM134" s="50">
        <v>0</v>
      </c>
      <c r="CN134" s="102"/>
      <c r="CO134" s="50"/>
      <c r="CP134" s="46" t="s">
        <v>23</v>
      </c>
      <c r="CQ134" s="46" t="s">
        <v>24</v>
      </c>
      <c r="CR134" s="46">
        <v>7</v>
      </c>
      <c r="CS134" s="46" t="s">
        <v>855</v>
      </c>
      <c r="CT134" s="46" t="s">
        <v>856</v>
      </c>
      <c r="CU134" s="46" t="s">
        <v>74</v>
      </c>
      <c r="CV134" s="46">
        <v>1</v>
      </c>
      <c r="CW134" s="46" t="s">
        <v>23</v>
      </c>
      <c r="CX134" s="49" t="s">
        <v>744</v>
      </c>
      <c r="CY134" s="49" t="s">
        <v>36</v>
      </c>
      <c r="CZ134" s="49">
        <v>0</v>
      </c>
      <c r="DA134" s="49">
        <v>1</v>
      </c>
      <c r="DB134" s="64">
        <v>45365</v>
      </c>
      <c r="DC134" s="58">
        <v>59.3</v>
      </c>
      <c r="DD134" s="58">
        <v>21.27</v>
      </c>
      <c r="DE134" s="58">
        <v>6.8500000000000005</v>
      </c>
      <c r="DF134" s="58">
        <v>8.67</v>
      </c>
      <c r="DG134" s="58">
        <v>3.9127080348286123</v>
      </c>
      <c r="DH134" s="58">
        <v>40.700000000000003</v>
      </c>
      <c r="DI134" s="45" t="s">
        <v>29</v>
      </c>
      <c r="DJ134" s="59" t="str">
        <f t="shared" si="63"/>
        <v>N/A</v>
      </c>
      <c r="DK134" s="65">
        <v>45365</v>
      </c>
      <c r="DL134" s="58">
        <v>59.3</v>
      </c>
      <c r="DM134" s="58">
        <v>21.27</v>
      </c>
      <c r="DN134" s="58">
        <v>6.8500000000000005</v>
      </c>
      <c r="DO134" s="58">
        <v>40.700000000000003</v>
      </c>
      <c r="DP134" s="66">
        <v>53.15</v>
      </c>
      <c r="DQ134" s="67">
        <v>53980.4</v>
      </c>
      <c r="DR134" s="53">
        <v>18.7</v>
      </c>
      <c r="DS134" s="58">
        <v>71.8</v>
      </c>
      <c r="DT134" s="53">
        <v>42.4</v>
      </c>
      <c r="DU134" s="105">
        <v>2.4700000000000002</v>
      </c>
      <c r="DV134" s="102">
        <v>36</v>
      </c>
      <c r="DW134" s="53">
        <v>78.900000000000006</v>
      </c>
      <c r="DX134" s="53">
        <v>95.86</v>
      </c>
      <c r="DY134" s="53">
        <v>55.069699999999997</v>
      </c>
      <c r="DZ134" s="63"/>
    </row>
    <row r="135" spans="1:130" s="5" customFormat="1" ht="14.25" hidden="1" customHeight="1">
      <c r="A135" s="45">
        <v>1113</v>
      </c>
      <c r="B135" s="46" t="s">
        <v>110</v>
      </c>
      <c r="C135" s="47">
        <v>2008</v>
      </c>
      <c r="D135" s="47" t="s">
        <v>134</v>
      </c>
      <c r="E135" s="46" t="s">
        <v>95</v>
      </c>
      <c r="F135" s="46">
        <v>4</v>
      </c>
      <c r="G135" s="48">
        <v>10000</v>
      </c>
      <c r="H135" s="46" t="s">
        <v>332</v>
      </c>
      <c r="I135" s="46">
        <v>1</v>
      </c>
      <c r="J135" s="46">
        <v>2</v>
      </c>
      <c r="K135" s="49" t="s">
        <v>136</v>
      </c>
      <c r="L135" s="49" t="s">
        <v>40</v>
      </c>
      <c r="M135" s="49" t="s">
        <v>35</v>
      </c>
      <c r="N135" s="49"/>
      <c r="O135" s="49"/>
      <c r="P135" s="49" t="s">
        <v>201</v>
      </c>
      <c r="Q135" s="49" t="s">
        <v>35</v>
      </c>
      <c r="R135" s="49">
        <v>1</v>
      </c>
      <c r="S135" s="50">
        <f t="shared" si="56"/>
        <v>50</v>
      </c>
      <c r="T135" s="49">
        <v>2</v>
      </c>
      <c r="U135" s="50">
        <f t="shared" si="57"/>
        <v>100</v>
      </c>
      <c r="V135" s="49" t="s">
        <v>867</v>
      </c>
      <c r="W135" s="49">
        <v>1</v>
      </c>
      <c r="X135" s="50">
        <f t="shared" si="58"/>
        <v>50</v>
      </c>
      <c r="Y135" s="51" t="str">
        <f t="shared" si="59"/>
        <v>Yes</v>
      </c>
      <c r="Z135" s="45"/>
      <c r="AA135" s="45"/>
      <c r="AB135" s="45"/>
      <c r="AC135" s="46" t="s">
        <v>151</v>
      </c>
      <c r="AD135" s="46" t="s">
        <v>152</v>
      </c>
      <c r="AE135" s="46" t="s">
        <v>155</v>
      </c>
      <c r="AF135" s="46" t="s">
        <v>29</v>
      </c>
      <c r="AG135" s="103"/>
      <c r="AH135" s="52">
        <v>7318</v>
      </c>
      <c r="AI135" s="52">
        <v>7318</v>
      </c>
      <c r="AJ135" s="102">
        <v>51.91</v>
      </c>
      <c r="AK135" s="104">
        <v>103.82</v>
      </c>
      <c r="AL135" s="102">
        <v>51.91</v>
      </c>
      <c r="AM135" s="102"/>
      <c r="AN135" s="53">
        <f t="shared" si="60"/>
        <v>103.82</v>
      </c>
      <c r="AO135" s="53"/>
      <c r="AP135" s="102"/>
      <c r="AQ135" s="102"/>
      <c r="AR135" s="50"/>
      <c r="AS135" s="50"/>
      <c r="AT135" s="102"/>
      <c r="AU135" s="102"/>
      <c r="AV135" s="50"/>
      <c r="AW135" s="50"/>
      <c r="AX135" s="50"/>
      <c r="AY135" s="50"/>
      <c r="AZ135" s="102"/>
      <c r="BA135" s="102"/>
      <c r="BB135" s="102"/>
      <c r="BC135" s="102"/>
      <c r="BD135" s="50"/>
      <c r="BE135" s="50"/>
      <c r="BF135" s="50"/>
      <c r="BG135" s="50"/>
      <c r="BH135" s="102"/>
      <c r="BI135" s="102"/>
      <c r="BJ135" s="50"/>
      <c r="BK135" s="50"/>
      <c r="BL135" s="50"/>
      <c r="BM135" s="50"/>
      <c r="BN135" s="102"/>
      <c r="BO135" s="50"/>
      <c r="BP135" s="50"/>
      <c r="BQ135" s="50"/>
      <c r="BR135" s="102"/>
      <c r="BS135" s="54"/>
      <c r="BT135" s="45"/>
      <c r="BU135" s="45"/>
      <c r="BV135" s="45"/>
      <c r="BW135" s="55">
        <f t="shared" si="67"/>
        <v>92.869155322048044</v>
      </c>
      <c r="BX135" s="55"/>
      <c r="BY135" s="55">
        <v>89.234155322048053</v>
      </c>
      <c r="BZ135" s="55"/>
      <c r="CA135" s="45">
        <v>2008</v>
      </c>
      <c r="CB135" s="55">
        <f t="shared" si="61"/>
        <v>19.176143807976519</v>
      </c>
      <c r="CC135" s="46" t="s">
        <v>150</v>
      </c>
      <c r="CD135" s="46" t="s">
        <v>151</v>
      </c>
      <c r="CE135" s="46" t="s">
        <v>783</v>
      </c>
      <c r="CF135" s="46">
        <v>2</v>
      </c>
      <c r="CG135" s="46" t="str">
        <f t="shared" si="62"/>
        <v>Yes</v>
      </c>
      <c r="CH135" s="46" t="s">
        <v>29</v>
      </c>
      <c r="CI135" s="56">
        <v>300</v>
      </c>
      <c r="CJ135" s="46">
        <v>50</v>
      </c>
      <c r="CK135" s="46" t="s">
        <v>23</v>
      </c>
      <c r="CL135" s="49" t="s">
        <v>29</v>
      </c>
      <c r="CM135" s="50">
        <v>0</v>
      </c>
      <c r="CN135" s="50"/>
      <c r="CO135" s="50"/>
      <c r="CP135" s="46" t="s">
        <v>23</v>
      </c>
      <c r="CQ135" s="46" t="s">
        <v>24</v>
      </c>
      <c r="CR135" s="46">
        <v>7</v>
      </c>
      <c r="CS135" s="46" t="s">
        <v>855</v>
      </c>
      <c r="CT135" s="46" t="s">
        <v>856</v>
      </c>
      <c r="CU135" s="46" t="s">
        <v>74</v>
      </c>
      <c r="CV135" s="46">
        <v>1</v>
      </c>
      <c r="CW135" s="46" t="s">
        <v>23</v>
      </c>
      <c r="CX135" s="49" t="s">
        <v>744</v>
      </c>
      <c r="CY135" s="49" t="s">
        <v>36</v>
      </c>
      <c r="CZ135" s="49">
        <v>0</v>
      </c>
      <c r="DA135" s="49">
        <v>1</v>
      </c>
      <c r="DB135" s="64">
        <v>38162</v>
      </c>
      <c r="DC135" s="58">
        <v>32.07</v>
      </c>
      <c r="DD135" s="58">
        <v>38.269999999999996</v>
      </c>
      <c r="DE135" s="58">
        <v>6.93</v>
      </c>
      <c r="DF135" s="58">
        <v>18.170000000000002</v>
      </c>
      <c r="DG135" s="58">
        <v>4.60667679890991</v>
      </c>
      <c r="DH135" s="58">
        <v>67.930000000000007</v>
      </c>
      <c r="DI135" s="45" t="s">
        <v>35</v>
      </c>
      <c r="DJ135" s="59" t="str">
        <f t="shared" si="63"/>
        <v>No single majority group</v>
      </c>
      <c r="DK135" s="65">
        <v>38162</v>
      </c>
      <c r="DL135" s="58">
        <v>32.07</v>
      </c>
      <c r="DM135" s="58">
        <v>38.269999999999996</v>
      </c>
      <c r="DN135" s="58">
        <v>6.93</v>
      </c>
      <c r="DO135" s="58">
        <v>67.930000000000007</v>
      </c>
      <c r="DP135" s="66">
        <v>53.15</v>
      </c>
      <c r="DQ135" s="67">
        <v>53980.4</v>
      </c>
      <c r="DR135" s="53">
        <v>18.7</v>
      </c>
      <c r="DS135" s="58">
        <v>71.8</v>
      </c>
      <c r="DT135" s="53">
        <v>42.4</v>
      </c>
      <c r="DU135" s="55">
        <v>2.4700000000000002</v>
      </c>
      <c r="DV135" s="50">
        <v>36</v>
      </c>
      <c r="DW135" s="53">
        <v>78.900000000000006</v>
      </c>
      <c r="DX135" s="53">
        <v>95.86</v>
      </c>
      <c r="DY135" s="53">
        <v>55.069699999999997</v>
      </c>
      <c r="DZ135" s="63"/>
    </row>
    <row r="136" spans="1:130" s="5" customFormat="1" ht="14.25" hidden="1" customHeight="1">
      <c r="A136" s="45">
        <v>1115</v>
      </c>
      <c r="B136" s="46" t="s">
        <v>110</v>
      </c>
      <c r="C136" s="47">
        <v>2008</v>
      </c>
      <c r="D136" s="47" t="s">
        <v>138</v>
      </c>
      <c r="E136" s="46" t="s">
        <v>98</v>
      </c>
      <c r="F136" s="46">
        <v>4</v>
      </c>
      <c r="G136" s="48">
        <v>10000</v>
      </c>
      <c r="H136" s="46" t="s">
        <v>332</v>
      </c>
      <c r="I136" s="46">
        <v>1</v>
      </c>
      <c r="J136" s="46">
        <v>1</v>
      </c>
      <c r="K136" s="49" t="s">
        <v>137</v>
      </c>
      <c r="L136" s="49" t="s">
        <v>30</v>
      </c>
      <c r="M136" s="49" t="s">
        <v>29</v>
      </c>
      <c r="N136" s="49" t="s">
        <v>513</v>
      </c>
      <c r="O136" s="49"/>
      <c r="P136" s="49" t="s">
        <v>857</v>
      </c>
      <c r="Q136" s="49" t="s">
        <v>35</v>
      </c>
      <c r="R136" s="49">
        <v>0</v>
      </c>
      <c r="S136" s="50">
        <f t="shared" si="56"/>
        <v>0</v>
      </c>
      <c r="T136" s="49">
        <v>1</v>
      </c>
      <c r="U136" s="50">
        <f t="shared" si="57"/>
        <v>100</v>
      </c>
      <c r="V136" s="49" t="s">
        <v>789</v>
      </c>
      <c r="W136" s="49">
        <v>0</v>
      </c>
      <c r="X136" s="50">
        <f t="shared" si="58"/>
        <v>0</v>
      </c>
      <c r="Y136" s="51" t="str">
        <f t="shared" si="59"/>
        <v>No</v>
      </c>
      <c r="Z136" s="49" t="s">
        <v>29</v>
      </c>
      <c r="AA136" s="49" t="s">
        <v>35</v>
      </c>
      <c r="AB136" s="49" t="s">
        <v>29</v>
      </c>
      <c r="AC136" s="46" t="s">
        <v>151</v>
      </c>
      <c r="AD136" s="46" t="s">
        <v>152</v>
      </c>
      <c r="AE136" s="46" t="s">
        <v>155</v>
      </c>
      <c r="AF136" s="46" t="s">
        <v>29</v>
      </c>
      <c r="AG136" s="103"/>
      <c r="AH136" s="52">
        <v>4503</v>
      </c>
      <c r="AI136" s="52">
        <v>4503</v>
      </c>
      <c r="AJ136" s="102">
        <v>98.47</v>
      </c>
      <c r="AK136" s="104">
        <v>196.94</v>
      </c>
      <c r="AL136" s="102">
        <v>98.47</v>
      </c>
      <c r="AM136" s="102"/>
      <c r="AN136" s="53">
        <f t="shared" si="60"/>
        <v>196.94</v>
      </c>
      <c r="AO136" s="53"/>
      <c r="AP136" s="102"/>
      <c r="AQ136" s="102"/>
      <c r="AR136" s="102"/>
      <c r="AS136" s="102"/>
      <c r="AT136" s="102"/>
      <c r="AU136" s="102"/>
      <c r="AV136" s="102"/>
      <c r="AW136" s="102"/>
      <c r="AX136" s="102"/>
      <c r="AY136" s="102"/>
      <c r="AZ136" s="102"/>
      <c r="BA136" s="102"/>
      <c r="BB136" s="102"/>
      <c r="BC136" s="102"/>
      <c r="BD136" s="102"/>
      <c r="BE136" s="102"/>
      <c r="BF136" s="102"/>
      <c r="BG136" s="102"/>
      <c r="BH136" s="102"/>
      <c r="BI136" s="102"/>
      <c r="BJ136" s="102"/>
      <c r="BK136" s="102"/>
      <c r="BL136" s="102"/>
      <c r="BM136" s="102"/>
      <c r="BN136" s="102"/>
      <c r="BO136" s="102"/>
      <c r="BP136" s="102"/>
      <c r="BQ136" s="102"/>
      <c r="BR136" s="102"/>
      <c r="BS136" s="54"/>
      <c r="BT136" s="45"/>
      <c r="BU136" s="45"/>
      <c r="BV136" s="45"/>
      <c r="BW136" s="55">
        <f t="shared" si="67"/>
        <v>92.869155322048044</v>
      </c>
      <c r="BX136" s="55"/>
      <c r="BY136" s="55">
        <v>89.234155322048053</v>
      </c>
      <c r="BZ136" s="55"/>
      <c r="CA136" s="45">
        <v>2008</v>
      </c>
      <c r="CB136" s="55">
        <f t="shared" si="61"/>
        <v>17.002718622564565</v>
      </c>
      <c r="CC136" s="46" t="s">
        <v>150</v>
      </c>
      <c r="CD136" s="46" t="s">
        <v>151</v>
      </c>
      <c r="CE136" s="46" t="s">
        <v>783</v>
      </c>
      <c r="CF136" s="46">
        <v>2</v>
      </c>
      <c r="CG136" s="46" t="str">
        <f t="shared" si="62"/>
        <v>Yes</v>
      </c>
      <c r="CH136" s="46" t="s">
        <v>29</v>
      </c>
      <c r="CI136" s="56">
        <v>300</v>
      </c>
      <c r="CJ136" s="46">
        <v>50</v>
      </c>
      <c r="CK136" s="46" t="s">
        <v>23</v>
      </c>
      <c r="CL136" s="49" t="s">
        <v>29</v>
      </c>
      <c r="CM136" s="50">
        <v>0</v>
      </c>
      <c r="CN136" s="50"/>
      <c r="CO136" s="50"/>
      <c r="CP136" s="46" t="s">
        <v>23</v>
      </c>
      <c r="CQ136" s="46" t="s">
        <v>24</v>
      </c>
      <c r="CR136" s="46">
        <v>7</v>
      </c>
      <c r="CS136" s="46" t="s">
        <v>855</v>
      </c>
      <c r="CT136" s="46" t="s">
        <v>856</v>
      </c>
      <c r="CU136" s="46" t="s">
        <v>74</v>
      </c>
      <c r="CV136" s="46">
        <v>1</v>
      </c>
      <c r="CW136" s="46" t="s">
        <v>23</v>
      </c>
      <c r="CX136" s="49" t="s">
        <v>744</v>
      </c>
      <c r="CY136" s="49" t="s">
        <v>36</v>
      </c>
      <c r="CZ136" s="49">
        <v>0</v>
      </c>
      <c r="DA136" s="49">
        <v>1</v>
      </c>
      <c r="DB136" s="64">
        <v>26484</v>
      </c>
      <c r="DC136" s="58">
        <v>24.21</v>
      </c>
      <c r="DD136" s="58">
        <v>28.43</v>
      </c>
      <c r="DE136" s="58">
        <v>21.58</v>
      </c>
      <c r="DF136" s="58">
        <v>20.849999999999998</v>
      </c>
      <c r="DG136" s="58">
        <v>4.9312792629512163</v>
      </c>
      <c r="DH136" s="58">
        <v>75.790000000000006</v>
      </c>
      <c r="DI136" s="45" t="s">
        <v>35</v>
      </c>
      <c r="DJ136" s="59" t="str">
        <f t="shared" si="63"/>
        <v>No single majority group</v>
      </c>
      <c r="DK136" s="65">
        <v>26484</v>
      </c>
      <c r="DL136" s="58">
        <v>24.21</v>
      </c>
      <c r="DM136" s="58">
        <v>28.43</v>
      </c>
      <c r="DN136" s="58">
        <v>21.58</v>
      </c>
      <c r="DO136" s="58">
        <v>75.790000000000006</v>
      </c>
      <c r="DP136" s="66">
        <v>53.15</v>
      </c>
      <c r="DQ136" s="67">
        <v>53980.4</v>
      </c>
      <c r="DR136" s="53">
        <v>18.7</v>
      </c>
      <c r="DS136" s="58">
        <v>71.8</v>
      </c>
      <c r="DT136" s="53">
        <v>42.4</v>
      </c>
      <c r="DU136" s="55">
        <v>2.4700000000000002</v>
      </c>
      <c r="DV136" s="50">
        <v>36</v>
      </c>
      <c r="DW136" s="53">
        <v>78.900000000000006</v>
      </c>
      <c r="DX136" s="53">
        <v>95.86</v>
      </c>
      <c r="DY136" s="53">
        <v>55.069699999999997</v>
      </c>
      <c r="DZ136" s="63"/>
    </row>
    <row r="137" spans="1:130" s="5" customFormat="1" ht="14.25" hidden="1" customHeight="1">
      <c r="A137" s="45">
        <v>1117</v>
      </c>
      <c r="B137" s="46" t="s">
        <v>110</v>
      </c>
      <c r="C137" s="47">
        <v>2008</v>
      </c>
      <c r="D137" s="47" t="s">
        <v>141</v>
      </c>
      <c r="E137" s="46" t="s">
        <v>83</v>
      </c>
      <c r="F137" s="46">
        <v>4</v>
      </c>
      <c r="G137" s="48">
        <v>10000</v>
      </c>
      <c r="H137" s="46" t="s">
        <v>332</v>
      </c>
      <c r="I137" s="46">
        <v>1</v>
      </c>
      <c r="J137" s="46">
        <v>3</v>
      </c>
      <c r="K137" s="49" t="s">
        <v>159</v>
      </c>
      <c r="L137" s="49" t="s">
        <v>40</v>
      </c>
      <c r="M137" s="49" t="s">
        <v>35</v>
      </c>
      <c r="N137" s="49" t="s">
        <v>513</v>
      </c>
      <c r="O137" s="49"/>
      <c r="P137" s="49" t="s">
        <v>201</v>
      </c>
      <c r="Q137" s="49" t="s">
        <v>35</v>
      </c>
      <c r="R137" s="49">
        <v>3</v>
      </c>
      <c r="S137" s="50">
        <f t="shared" si="56"/>
        <v>100</v>
      </c>
      <c r="T137" s="49">
        <v>3</v>
      </c>
      <c r="U137" s="50">
        <f t="shared" si="57"/>
        <v>100</v>
      </c>
      <c r="V137" s="49" t="s">
        <v>861</v>
      </c>
      <c r="W137" s="49">
        <v>3</v>
      </c>
      <c r="X137" s="50">
        <f t="shared" si="58"/>
        <v>100</v>
      </c>
      <c r="Y137" s="51" t="str">
        <f t="shared" si="59"/>
        <v>Yes</v>
      </c>
      <c r="Z137" s="49" t="s">
        <v>29</v>
      </c>
      <c r="AA137" s="49" t="s">
        <v>35</v>
      </c>
      <c r="AB137" s="45" t="s">
        <v>35</v>
      </c>
      <c r="AC137" s="46" t="s">
        <v>151</v>
      </c>
      <c r="AD137" s="46" t="s">
        <v>152</v>
      </c>
      <c r="AE137" s="46" t="s">
        <v>155</v>
      </c>
      <c r="AF137" s="46" t="s">
        <v>29</v>
      </c>
      <c r="AG137" s="103"/>
      <c r="AH137" s="52">
        <v>5642</v>
      </c>
      <c r="AI137" s="52">
        <v>5642</v>
      </c>
      <c r="AJ137" s="102">
        <v>50.41</v>
      </c>
      <c r="AK137" s="104">
        <v>100.82</v>
      </c>
      <c r="AL137" s="102">
        <v>50.41</v>
      </c>
      <c r="AM137" s="102"/>
      <c r="AN137" s="53">
        <f t="shared" si="60"/>
        <v>100.82</v>
      </c>
      <c r="AO137" s="53"/>
      <c r="AP137" s="102"/>
      <c r="AQ137" s="102"/>
      <c r="AR137" s="102"/>
      <c r="AS137" s="102"/>
      <c r="AT137" s="102"/>
      <c r="AU137" s="102"/>
      <c r="AV137" s="102"/>
      <c r="AW137" s="102"/>
      <c r="AX137" s="102"/>
      <c r="AY137" s="102"/>
      <c r="AZ137" s="102"/>
      <c r="BA137" s="102"/>
      <c r="BB137" s="102"/>
      <c r="BC137" s="102"/>
      <c r="BD137" s="102"/>
      <c r="BE137" s="102"/>
      <c r="BF137" s="102"/>
      <c r="BG137" s="102"/>
      <c r="BH137" s="102"/>
      <c r="BI137" s="102"/>
      <c r="BJ137" s="102"/>
      <c r="BK137" s="102"/>
      <c r="BL137" s="102"/>
      <c r="BM137" s="102"/>
      <c r="BN137" s="102"/>
      <c r="BO137" s="102"/>
      <c r="BP137" s="102"/>
      <c r="BQ137" s="102"/>
      <c r="BR137" s="102"/>
      <c r="BS137" s="54"/>
      <c r="BT137" s="45"/>
      <c r="BU137" s="45"/>
      <c r="BV137" s="45"/>
      <c r="BW137" s="55">
        <f t="shared" si="67"/>
        <v>92.869155322048044</v>
      </c>
      <c r="BX137" s="55"/>
      <c r="BY137" s="55">
        <v>89.234155322048053</v>
      </c>
      <c r="BZ137" s="55"/>
      <c r="CA137" s="45">
        <v>2008</v>
      </c>
      <c r="CB137" s="55">
        <f t="shared" si="61"/>
        <v>19.692157341803078</v>
      </c>
      <c r="CC137" s="46" t="s">
        <v>150</v>
      </c>
      <c r="CD137" s="46" t="s">
        <v>151</v>
      </c>
      <c r="CE137" s="46" t="s">
        <v>783</v>
      </c>
      <c r="CF137" s="46">
        <v>2</v>
      </c>
      <c r="CG137" s="46" t="str">
        <f t="shared" si="62"/>
        <v>Yes</v>
      </c>
      <c r="CH137" s="46" t="s">
        <v>29</v>
      </c>
      <c r="CI137" s="56">
        <v>300</v>
      </c>
      <c r="CJ137" s="46">
        <v>50</v>
      </c>
      <c r="CK137" s="46" t="s">
        <v>23</v>
      </c>
      <c r="CL137" s="49" t="s">
        <v>29</v>
      </c>
      <c r="CM137" s="50">
        <v>0</v>
      </c>
      <c r="CN137" s="50"/>
      <c r="CO137" s="50"/>
      <c r="CP137" s="46" t="s">
        <v>23</v>
      </c>
      <c r="CQ137" s="46" t="s">
        <v>24</v>
      </c>
      <c r="CR137" s="46">
        <v>7</v>
      </c>
      <c r="CS137" s="46" t="s">
        <v>855</v>
      </c>
      <c r="CT137" s="46" t="s">
        <v>856</v>
      </c>
      <c r="CU137" s="46" t="s">
        <v>74</v>
      </c>
      <c r="CV137" s="46">
        <v>1</v>
      </c>
      <c r="CW137" s="46" t="s">
        <v>23</v>
      </c>
      <c r="CX137" s="49" t="s">
        <v>744</v>
      </c>
      <c r="CY137" s="49" t="s">
        <v>36</v>
      </c>
      <c r="CZ137" s="49">
        <v>0</v>
      </c>
      <c r="DA137" s="49">
        <v>1</v>
      </c>
      <c r="DB137" s="64">
        <v>28651</v>
      </c>
      <c r="DC137" s="58">
        <v>11.690000000000001</v>
      </c>
      <c r="DD137" s="58">
        <v>60.940000000000005</v>
      </c>
      <c r="DE137" s="58">
        <v>18.240000000000002</v>
      </c>
      <c r="DF137" s="58">
        <v>5.3</v>
      </c>
      <c r="DG137" s="58">
        <v>3.905622840389515</v>
      </c>
      <c r="DH137" s="58">
        <v>88.31</v>
      </c>
      <c r="DI137" s="45" t="s">
        <v>35</v>
      </c>
      <c r="DJ137" s="59" t="str">
        <f t="shared" si="63"/>
        <v>African American</v>
      </c>
      <c r="DK137" s="65">
        <v>28651</v>
      </c>
      <c r="DL137" s="58">
        <v>11.690000000000001</v>
      </c>
      <c r="DM137" s="58">
        <v>60.940000000000005</v>
      </c>
      <c r="DN137" s="58">
        <v>18.240000000000002</v>
      </c>
      <c r="DO137" s="58">
        <v>88.31</v>
      </c>
      <c r="DP137" s="66">
        <v>53.15</v>
      </c>
      <c r="DQ137" s="67">
        <v>53980.4</v>
      </c>
      <c r="DR137" s="53">
        <v>18.7</v>
      </c>
      <c r="DS137" s="58">
        <v>71.8</v>
      </c>
      <c r="DT137" s="53">
        <v>42.4</v>
      </c>
      <c r="DU137" s="55">
        <v>2.4700000000000002</v>
      </c>
      <c r="DV137" s="50">
        <v>36</v>
      </c>
      <c r="DW137" s="53">
        <v>78.900000000000006</v>
      </c>
      <c r="DX137" s="53">
        <v>95.86</v>
      </c>
      <c r="DY137" s="53">
        <v>55.069699999999997</v>
      </c>
      <c r="DZ137" s="63"/>
    </row>
    <row r="138" spans="1:130" s="5" customFormat="1" ht="14.25" hidden="1" customHeight="1">
      <c r="A138" s="45">
        <v>1101</v>
      </c>
      <c r="B138" s="46" t="s">
        <v>110</v>
      </c>
      <c r="C138" s="47">
        <v>2010</v>
      </c>
      <c r="D138" s="47" t="s">
        <v>70</v>
      </c>
      <c r="E138" s="46" t="s">
        <v>22</v>
      </c>
      <c r="F138" s="46">
        <v>4</v>
      </c>
      <c r="G138" s="48">
        <v>151741</v>
      </c>
      <c r="H138" s="46" t="s">
        <v>249</v>
      </c>
      <c r="I138" s="46">
        <v>1</v>
      </c>
      <c r="J138" s="46">
        <v>2</v>
      </c>
      <c r="K138" s="49" t="s">
        <v>143</v>
      </c>
      <c r="L138" s="49" t="s">
        <v>40</v>
      </c>
      <c r="M138" s="49" t="s">
        <v>35</v>
      </c>
      <c r="N138" s="49" t="s">
        <v>513</v>
      </c>
      <c r="O138" s="49"/>
      <c r="P138" s="49" t="s">
        <v>31</v>
      </c>
      <c r="Q138" s="49" t="s">
        <v>29</v>
      </c>
      <c r="R138" s="49">
        <v>1</v>
      </c>
      <c r="S138" s="50">
        <f t="shared" si="56"/>
        <v>50</v>
      </c>
      <c r="T138" s="49">
        <v>0</v>
      </c>
      <c r="U138" s="50">
        <f t="shared" si="57"/>
        <v>0</v>
      </c>
      <c r="V138" s="45"/>
      <c r="W138" s="49">
        <v>0</v>
      </c>
      <c r="X138" s="50">
        <f t="shared" si="58"/>
        <v>0</v>
      </c>
      <c r="Y138" s="51" t="str">
        <f t="shared" si="59"/>
        <v>No</v>
      </c>
      <c r="Z138" s="49" t="s">
        <v>29</v>
      </c>
      <c r="AA138" s="49" t="s">
        <v>29</v>
      </c>
      <c r="AB138" s="45" t="s">
        <v>35</v>
      </c>
      <c r="AC138" s="46" t="s">
        <v>72</v>
      </c>
      <c r="AD138" s="46" t="s">
        <v>27</v>
      </c>
      <c r="AE138" s="46" t="s">
        <v>73</v>
      </c>
      <c r="AF138" s="46" t="s">
        <v>29</v>
      </c>
      <c r="AG138" s="103">
        <v>122268</v>
      </c>
      <c r="AH138" s="52">
        <v>97123</v>
      </c>
      <c r="AI138" s="52">
        <v>97213</v>
      </c>
      <c r="AJ138" s="102">
        <v>66.98</v>
      </c>
      <c r="AK138" s="104">
        <v>133.96</v>
      </c>
      <c r="AL138" s="102">
        <v>66.98</v>
      </c>
      <c r="AM138" s="102">
        <v>66.92</v>
      </c>
      <c r="AN138" s="53">
        <f t="shared" si="60"/>
        <v>133.96</v>
      </c>
      <c r="AO138" s="53">
        <v>31.83</v>
      </c>
      <c r="AP138" s="102">
        <v>24521</v>
      </c>
      <c r="AQ138" s="102">
        <v>20.05512480779926</v>
      </c>
      <c r="AR138" s="50">
        <v>122</v>
      </c>
      <c r="AS138" s="50">
        <f t="shared" ref="AS138:AS145" si="68">AR138/AI138 *100</f>
        <v>0.12549761863125303</v>
      </c>
      <c r="AT138" s="102"/>
      <c r="AU138" s="102"/>
      <c r="AV138" s="50">
        <v>122</v>
      </c>
      <c r="AW138" s="50">
        <v>0.12549761863125303</v>
      </c>
      <c r="AX138" s="50"/>
      <c r="AY138" s="50"/>
      <c r="AZ138" s="102"/>
      <c r="BA138" s="102"/>
      <c r="BB138" s="102"/>
      <c r="BC138" s="102"/>
      <c r="BD138" s="50"/>
      <c r="BE138" s="50"/>
      <c r="BF138" s="50"/>
      <c r="BG138" s="50"/>
      <c r="BH138" s="102"/>
      <c r="BI138" s="102"/>
      <c r="BJ138" s="50"/>
      <c r="BK138" s="50"/>
      <c r="BL138" s="50"/>
      <c r="BM138" s="50"/>
      <c r="BN138" s="102"/>
      <c r="BO138" s="50"/>
      <c r="BP138" s="50"/>
      <c r="BQ138" s="50"/>
      <c r="BR138" s="102" t="s">
        <v>967</v>
      </c>
      <c r="BS138" s="54" t="s">
        <v>29</v>
      </c>
      <c r="BT138" s="45" t="str">
        <f>IF(J138=I138, "No", IF(AJ138/AO138&lt;2, "Yes", "No"))</f>
        <v>No</v>
      </c>
      <c r="BU138" s="45" t="str">
        <f>IF(J138=I138, "No", IF(AJ138/AO138&lt;1.5, "Yes", "No"))</f>
        <v>No</v>
      </c>
      <c r="BV138" s="45" t="str">
        <f>IF(J138=I138, "No", IF((ABS(AJ138-AO138))&lt;(5/I138), "Yes", "No"))</f>
        <v>No</v>
      </c>
      <c r="BW138" s="55">
        <f t="shared" si="67"/>
        <v>92.869155322048044</v>
      </c>
      <c r="BX138" s="55">
        <f>(151308/(151308+11618))*100</f>
        <v>92.869155322048044</v>
      </c>
      <c r="BY138" s="55">
        <v>89.234155322048053</v>
      </c>
      <c r="BZ138" s="55">
        <f>BX138-(0.0727*100/2)</f>
        <v>89.234155322048039</v>
      </c>
      <c r="CA138" s="45">
        <v>2008</v>
      </c>
      <c r="CB138" s="55">
        <f t="shared" si="61"/>
        <v>38.882867027978321</v>
      </c>
      <c r="CC138" s="46" t="s">
        <v>490</v>
      </c>
      <c r="CD138" s="46" t="s">
        <v>71</v>
      </c>
      <c r="CE138" s="46" t="s">
        <v>783</v>
      </c>
      <c r="CF138" s="46">
        <v>1</v>
      </c>
      <c r="CG138" s="46" t="str">
        <f t="shared" si="62"/>
        <v>No</v>
      </c>
      <c r="CH138" s="46" t="s">
        <v>29</v>
      </c>
      <c r="CI138" s="56">
        <v>300</v>
      </c>
      <c r="CJ138" s="46">
        <v>50</v>
      </c>
      <c r="CK138" s="46" t="s">
        <v>23</v>
      </c>
      <c r="CL138" s="49" t="s">
        <v>29</v>
      </c>
      <c r="CM138" s="50">
        <v>0</v>
      </c>
      <c r="CN138" s="50"/>
      <c r="CO138" s="50"/>
      <c r="CP138" s="46" t="s">
        <v>23</v>
      </c>
      <c r="CQ138" s="46" t="s">
        <v>23</v>
      </c>
      <c r="CR138" s="46">
        <v>7</v>
      </c>
      <c r="CS138" s="46" t="s">
        <v>855</v>
      </c>
      <c r="CT138" s="46" t="s">
        <v>53</v>
      </c>
      <c r="CU138" s="46" t="s">
        <v>74</v>
      </c>
      <c r="CV138" s="46">
        <v>0</v>
      </c>
      <c r="CW138" s="46">
        <v>1</v>
      </c>
      <c r="CX138" s="49" t="s">
        <v>745</v>
      </c>
      <c r="CY138" s="49" t="s">
        <v>36</v>
      </c>
      <c r="CZ138" s="49">
        <v>0</v>
      </c>
      <c r="DA138" s="49">
        <v>1</v>
      </c>
      <c r="DB138" s="64">
        <v>250015</v>
      </c>
      <c r="DC138" s="58">
        <v>34.43</v>
      </c>
      <c r="DD138" s="58">
        <v>32.769999999999996</v>
      </c>
      <c r="DE138" s="58">
        <v>12.4</v>
      </c>
      <c r="DF138" s="58">
        <v>16.309999999999999</v>
      </c>
      <c r="DG138" s="58">
        <v>4.0900000000000052</v>
      </c>
      <c r="DH138" s="58">
        <v>65.569999999999993</v>
      </c>
      <c r="DI138" s="45" t="s">
        <v>35</v>
      </c>
      <c r="DJ138" s="59" t="str">
        <f t="shared" si="63"/>
        <v>No single majority group</v>
      </c>
      <c r="DK138" s="65">
        <v>250015</v>
      </c>
      <c r="DL138" s="58">
        <v>34.43</v>
      </c>
      <c r="DM138" s="58">
        <v>32.769999999999996</v>
      </c>
      <c r="DN138" s="58">
        <v>12.4</v>
      </c>
      <c r="DO138" s="58">
        <v>65.569999999999993</v>
      </c>
      <c r="DP138" s="66">
        <v>53.55</v>
      </c>
      <c r="DQ138" s="67">
        <v>53290.71</v>
      </c>
      <c r="DR138" s="53">
        <v>20.3</v>
      </c>
      <c r="DS138" s="58">
        <v>72.3</v>
      </c>
      <c r="DT138" s="53">
        <v>41</v>
      </c>
      <c r="DU138" s="55">
        <v>2.5</v>
      </c>
      <c r="DV138" s="50">
        <v>36.200000000000003</v>
      </c>
      <c r="DW138" s="53">
        <v>79.7</v>
      </c>
      <c r="DX138" s="53">
        <v>100.33</v>
      </c>
      <c r="DY138" s="53">
        <v>55.325600000000001</v>
      </c>
      <c r="DZ138" s="63"/>
    </row>
    <row r="139" spans="1:130" s="5" customFormat="1" ht="14.25" hidden="1" customHeight="1">
      <c r="A139" s="45">
        <v>1102</v>
      </c>
      <c r="B139" s="46" t="s">
        <v>110</v>
      </c>
      <c r="C139" s="47">
        <v>2010</v>
      </c>
      <c r="D139" s="47" t="s">
        <v>91</v>
      </c>
      <c r="E139" s="71" t="s">
        <v>92</v>
      </c>
      <c r="F139" s="46">
        <v>4</v>
      </c>
      <c r="G139" s="48">
        <v>82204</v>
      </c>
      <c r="H139" s="46" t="s">
        <v>249</v>
      </c>
      <c r="I139" s="46">
        <v>1</v>
      </c>
      <c r="J139" s="46">
        <v>2</v>
      </c>
      <c r="K139" s="49" t="s">
        <v>146</v>
      </c>
      <c r="L139" s="49" t="s">
        <v>40</v>
      </c>
      <c r="M139" s="49" t="s">
        <v>35</v>
      </c>
      <c r="N139" s="49" t="s">
        <v>513</v>
      </c>
      <c r="O139" s="49"/>
      <c r="P139" s="49" t="s">
        <v>31</v>
      </c>
      <c r="Q139" s="49" t="s">
        <v>29</v>
      </c>
      <c r="R139" s="49">
        <v>2</v>
      </c>
      <c r="S139" s="50">
        <f t="shared" si="56"/>
        <v>100</v>
      </c>
      <c r="T139" s="49">
        <v>1</v>
      </c>
      <c r="U139" s="50">
        <f t="shared" si="57"/>
        <v>50</v>
      </c>
      <c r="V139" s="49" t="s">
        <v>173</v>
      </c>
      <c r="W139" s="49">
        <v>1</v>
      </c>
      <c r="X139" s="50">
        <f t="shared" si="58"/>
        <v>50</v>
      </c>
      <c r="Y139" s="51" t="str">
        <f t="shared" si="59"/>
        <v>No</v>
      </c>
      <c r="Z139" s="49" t="s">
        <v>29</v>
      </c>
      <c r="AA139" s="49" t="s">
        <v>29</v>
      </c>
      <c r="AB139" s="45" t="s">
        <v>35</v>
      </c>
      <c r="AC139" s="46" t="s">
        <v>72</v>
      </c>
      <c r="AD139" s="46" t="s">
        <v>27</v>
      </c>
      <c r="AE139" s="46" t="s">
        <v>73</v>
      </c>
      <c r="AF139" s="46" t="s">
        <v>29</v>
      </c>
      <c r="AG139" s="103">
        <v>15243</v>
      </c>
      <c r="AH139" s="52">
        <v>13569</v>
      </c>
      <c r="AI139" s="52">
        <v>13569</v>
      </c>
      <c r="AJ139" s="102">
        <v>65.72</v>
      </c>
      <c r="AK139" s="104">
        <v>131.44</v>
      </c>
      <c r="AL139" s="102">
        <v>65.72</v>
      </c>
      <c r="AM139" s="102">
        <v>65.680000000000007</v>
      </c>
      <c r="AN139" s="53">
        <f t="shared" si="60"/>
        <v>131.44</v>
      </c>
      <c r="AO139" s="53">
        <v>33.729999999999997</v>
      </c>
      <c r="AP139" s="102">
        <v>1599</v>
      </c>
      <c r="AQ139" s="102">
        <v>10.490061011611887</v>
      </c>
      <c r="AR139" s="50">
        <v>11</v>
      </c>
      <c r="AS139" s="102">
        <f t="shared" si="68"/>
        <v>8.1067138330016955E-2</v>
      </c>
      <c r="AT139" s="102"/>
      <c r="AU139" s="102"/>
      <c r="AV139" s="102">
        <v>11</v>
      </c>
      <c r="AW139" s="102">
        <v>8.1067138330016955E-2</v>
      </c>
      <c r="AX139" s="50"/>
      <c r="AY139" s="50"/>
      <c r="AZ139" s="102"/>
      <c r="BA139" s="102"/>
      <c r="BB139" s="102"/>
      <c r="BC139" s="102"/>
      <c r="BD139" s="50"/>
      <c r="BE139" s="50"/>
      <c r="BF139" s="50"/>
      <c r="BG139" s="50"/>
      <c r="BH139" s="102"/>
      <c r="BI139" s="102"/>
      <c r="BJ139" s="102"/>
      <c r="BK139" s="102"/>
      <c r="BL139" s="102"/>
      <c r="BM139" s="102"/>
      <c r="BN139" s="102"/>
      <c r="BO139" s="50"/>
      <c r="BP139" s="50"/>
      <c r="BQ139" s="50"/>
      <c r="BR139" s="102" t="s">
        <v>967</v>
      </c>
      <c r="BS139" s="54" t="s">
        <v>29</v>
      </c>
      <c r="BT139" s="45" t="str">
        <f>IF(J139=I139, "No", IF(AJ139/AO139&lt;2, "Yes", "No"))</f>
        <v>Yes</v>
      </c>
      <c r="BU139" s="45" t="str">
        <f>IF(J139=I139, "No", IF(AJ139/AO139&lt;1.5, "Yes", "No"))</f>
        <v>No</v>
      </c>
      <c r="BV139" s="45" t="str">
        <f>IF(J139=I139, "No", IF((ABS(AJ139-AO139))&lt;(5/I139), "Yes", "No"))</f>
        <v>No</v>
      </c>
      <c r="BW139" s="55">
        <f t="shared" si="67"/>
        <v>92.869155322048044</v>
      </c>
      <c r="BX139" s="55"/>
      <c r="BY139" s="55">
        <v>89.234155322048053</v>
      </c>
      <c r="BZ139" s="55"/>
      <c r="CA139" s="45">
        <v>2008</v>
      </c>
      <c r="CB139" s="55">
        <f t="shared" si="61"/>
        <v>37.891650376989666</v>
      </c>
      <c r="CC139" s="46" t="s">
        <v>490</v>
      </c>
      <c r="CD139" s="46" t="s">
        <v>71</v>
      </c>
      <c r="CE139" s="46" t="s">
        <v>783</v>
      </c>
      <c r="CF139" s="46">
        <v>1</v>
      </c>
      <c r="CG139" s="46" t="str">
        <f t="shared" si="62"/>
        <v>No</v>
      </c>
      <c r="CH139" s="46" t="s">
        <v>29</v>
      </c>
      <c r="CI139" s="56">
        <v>300</v>
      </c>
      <c r="CJ139" s="46">
        <v>50</v>
      </c>
      <c r="CK139" s="46" t="s">
        <v>23</v>
      </c>
      <c r="CL139" s="49" t="s">
        <v>35</v>
      </c>
      <c r="CM139" s="50">
        <f>(2/2)*100</f>
        <v>100</v>
      </c>
      <c r="CN139" s="50"/>
      <c r="CO139" s="50"/>
      <c r="CP139" s="46" t="s">
        <v>23</v>
      </c>
      <c r="CQ139" s="46" t="s">
        <v>24</v>
      </c>
      <c r="CR139" s="46">
        <v>7</v>
      </c>
      <c r="CS139" s="46" t="s">
        <v>855</v>
      </c>
      <c r="CT139" s="46" t="s">
        <v>856</v>
      </c>
      <c r="CU139" s="46" t="s">
        <v>74</v>
      </c>
      <c r="CV139" s="46">
        <v>0</v>
      </c>
      <c r="CW139" s="46">
        <v>1</v>
      </c>
      <c r="CX139" s="49" t="s">
        <v>745</v>
      </c>
      <c r="CY139" s="49" t="s">
        <v>36</v>
      </c>
      <c r="CZ139" s="49">
        <v>0</v>
      </c>
      <c r="DA139" s="49">
        <v>1</v>
      </c>
      <c r="DB139" s="64">
        <v>35810</v>
      </c>
      <c r="DC139" s="58">
        <v>33.550000000000004</v>
      </c>
      <c r="DD139" s="58">
        <v>20.76</v>
      </c>
      <c r="DE139" s="58">
        <v>10.100000000000001</v>
      </c>
      <c r="DF139" s="58">
        <v>31.34</v>
      </c>
      <c r="DG139" s="58">
        <v>4.2111142139067299</v>
      </c>
      <c r="DH139" s="58">
        <v>66.45</v>
      </c>
      <c r="DI139" s="45" t="s">
        <v>35</v>
      </c>
      <c r="DJ139" s="59" t="str">
        <f t="shared" si="63"/>
        <v>No single majority group</v>
      </c>
      <c r="DK139" s="65">
        <v>35810</v>
      </c>
      <c r="DL139" s="58">
        <v>33.550000000000004</v>
      </c>
      <c r="DM139" s="58">
        <v>20.76</v>
      </c>
      <c r="DN139" s="58">
        <v>10.100000000000001</v>
      </c>
      <c r="DO139" s="58">
        <v>66.45</v>
      </c>
      <c r="DP139" s="66">
        <v>53.55</v>
      </c>
      <c r="DQ139" s="67">
        <v>53290.71</v>
      </c>
      <c r="DR139" s="53">
        <v>20.3</v>
      </c>
      <c r="DS139" s="58">
        <v>72.3</v>
      </c>
      <c r="DT139" s="53">
        <v>41</v>
      </c>
      <c r="DU139" s="55">
        <v>2.5</v>
      </c>
      <c r="DV139" s="50">
        <v>36.200000000000003</v>
      </c>
      <c r="DW139" s="53">
        <v>79.7</v>
      </c>
      <c r="DX139" s="53">
        <v>100.33</v>
      </c>
      <c r="DY139" s="53">
        <v>55.325600000000001</v>
      </c>
      <c r="DZ139" s="63"/>
    </row>
    <row r="140" spans="1:130" s="5" customFormat="1" ht="14.25" hidden="1" customHeight="1">
      <c r="A140" s="45">
        <v>1104</v>
      </c>
      <c r="B140" s="46" t="s">
        <v>110</v>
      </c>
      <c r="C140" s="47">
        <v>2010</v>
      </c>
      <c r="D140" s="47" t="s">
        <v>79</v>
      </c>
      <c r="E140" s="71" t="s">
        <v>80</v>
      </c>
      <c r="F140" s="46">
        <v>4</v>
      </c>
      <c r="G140" s="48">
        <v>82204</v>
      </c>
      <c r="H140" s="46" t="s">
        <v>249</v>
      </c>
      <c r="I140" s="46">
        <v>1</v>
      </c>
      <c r="J140" s="46">
        <v>7</v>
      </c>
      <c r="K140" s="49" t="s">
        <v>113</v>
      </c>
      <c r="L140" s="49" t="s">
        <v>40</v>
      </c>
      <c r="M140" s="49" t="s">
        <v>35</v>
      </c>
      <c r="N140" s="49" t="s">
        <v>512</v>
      </c>
      <c r="O140" s="49"/>
      <c r="P140" s="49" t="s">
        <v>31</v>
      </c>
      <c r="Q140" s="49" t="s">
        <v>29</v>
      </c>
      <c r="R140" s="49">
        <v>3</v>
      </c>
      <c r="S140" s="50">
        <f t="shared" si="56"/>
        <v>42.857142857142854</v>
      </c>
      <c r="T140" s="49">
        <v>1</v>
      </c>
      <c r="U140" s="50">
        <f t="shared" si="57"/>
        <v>14.285714285714285</v>
      </c>
      <c r="V140" s="49" t="s">
        <v>858</v>
      </c>
      <c r="W140" s="49">
        <v>1</v>
      </c>
      <c r="X140" s="50">
        <f t="shared" si="58"/>
        <v>14.285714285714285</v>
      </c>
      <c r="Y140" s="51" t="str">
        <f t="shared" si="59"/>
        <v>No</v>
      </c>
      <c r="Z140" s="49" t="s">
        <v>35</v>
      </c>
      <c r="AA140" s="49" t="s">
        <v>23</v>
      </c>
      <c r="AB140" s="49" t="s">
        <v>23</v>
      </c>
      <c r="AC140" s="46" t="s">
        <v>132</v>
      </c>
      <c r="AD140" s="46" t="s">
        <v>27</v>
      </c>
      <c r="AE140" s="46" t="s">
        <v>73</v>
      </c>
      <c r="AF140" s="46" t="s">
        <v>29</v>
      </c>
      <c r="AG140" s="103">
        <v>23884</v>
      </c>
      <c r="AH140" s="52">
        <v>20937</v>
      </c>
      <c r="AI140" s="52">
        <v>20937</v>
      </c>
      <c r="AJ140" s="102">
        <v>41.77</v>
      </c>
      <c r="AK140" s="104">
        <v>83.54</v>
      </c>
      <c r="AL140" s="102">
        <v>53.07</v>
      </c>
      <c r="AM140" s="102">
        <v>63</v>
      </c>
      <c r="AN140" s="53">
        <f t="shared" si="60"/>
        <v>106.14</v>
      </c>
      <c r="AO140" s="53">
        <v>29.63</v>
      </c>
      <c r="AP140" s="102">
        <v>2844</v>
      </c>
      <c r="AQ140" s="102">
        <v>11.907553173672751</v>
      </c>
      <c r="AR140" s="50">
        <v>60</v>
      </c>
      <c r="AS140" s="102">
        <f t="shared" si="68"/>
        <v>0.28657400773749819</v>
      </c>
      <c r="AT140" s="102"/>
      <c r="AU140" s="102"/>
      <c r="AV140" s="102">
        <v>60</v>
      </c>
      <c r="AW140" s="102">
        <v>0.3</v>
      </c>
      <c r="AX140" s="50"/>
      <c r="AY140" s="50"/>
      <c r="AZ140" s="102"/>
      <c r="BA140" s="102"/>
      <c r="BB140" s="102"/>
      <c r="BC140" s="102"/>
      <c r="BD140" s="50"/>
      <c r="BE140" s="50"/>
      <c r="BF140" s="50"/>
      <c r="BG140" s="50"/>
      <c r="BH140" s="102">
        <v>1369</v>
      </c>
      <c r="BI140" s="102">
        <v>6.5386636098772506</v>
      </c>
      <c r="BJ140" s="102"/>
      <c r="BK140" s="102"/>
      <c r="BL140" s="102"/>
      <c r="BM140" s="102"/>
      <c r="BN140" s="102"/>
      <c r="BO140" s="50"/>
      <c r="BP140" s="50"/>
      <c r="BQ140" s="50"/>
      <c r="BR140" s="102"/>
      <c r="BS140" s="54" t="s">
        <v>29</v>
      </c>
      <c r="BT140" s="45" t="str">
        <f>IF(J140=I140, "No", IF(AJ140/AO140&lt;2, "Yes", "No"))</f>
        <v>Yes</v>
      </c>
      <c r="BU140" s="45" t="str">
        <f>IF(J140=I140, "No", IF(AJ140/AO140&lt;1.5, "Yes", "No"))</f>
        <v>Yes</v>
      </c>
      <c r="BV140" s="45" t="str">
        <f>IF(J140=I140, "No", IF((ABS(AJ140-AO140))&lt;(5/I140), "Yes", "No"))</f>
        <v>No</v>
      </c>
      <c r="BW140" s="55">
        <f t="shared" si="67"/>
        <v>92.869155322048044</v>
      </c>
      <c r="BX140" s="55"/>
      <c r="BY140" s="55">
        <v>89.234155322048053</v>
      </c>
      <c r="BZ140" s="55"/>
      <c r="CA140" s="45">
        <v>2008</v>
      </c>
      <c r="CB140" s="55">
        <f t="shared" si="61"/>
        <v>53.297864216073108</v>
      </c>
      <c r="CC140" s="46" t="s">
        <v>490</v>
      </c>
      <c r="CD140" s="46" t="s">
        <v>71</v>
      </c>
      <c r="CE140" s="46" t="s">
        <v>783</v>
      </c>
      <c r="CF140" s="46">
        <v>1</v>
      </c>
      <c r="CG140" s="46" t="str">
        <f t="shared" si="62"/>
        <v>No</v>
      </c>
      <c r="CH140" s="46" t="s">
        <v>29</v>
      </c>
      <c r="CI140" s="56">
        <v>300</v>
      </c>
      <c r="CJ140" s="46">
        <v>50</v>
      </c>
      <c r="CK140" s="46" t="s">
        <v>23</v>
      </c>
      <c r="CL140" s="49" t="s">
        <v>35</v>
      </c>
      <c r="CM140" s="50">
        <f>(2/7)*100</f>
        <v>28.571428571428569</v>
      </c>
      <c r="CN140" s="102"/>
      <c r="CO140" s="50"/>
      <c r="CP140" s="46" t="s">
        <v>23</v>
      </c>
      <c r="CQ140" s="46" t="s">
        <v>24</v>
      </c>
      <c r="CR140" s="46">
        <v>7</v>
      </c>
      <c r="CS140" s="46" t="s">
        <v>855</v>
      </c>
      <c r="CT140" s="46" t="s">
        <v>856</v>
      </c>
      <c r="CU140" s="46" t="s">
        <v>74</v>
      </c>
      <c r="CV140" s="46">
        <v>0</v>
      </c>
      <c r="CW140" s="46">
        <v>1</v>
      </c>
      <c r="CX140" s="49" t="s">
        <v>745</v>
      </c>
      <c r="CY140" s="49" t="s">
        <v>36</v>
      </c>
      <c r="CZ140" s="49">
        <v>0</v>
      </c>
      <c r="DA140" s="49">
        <v>1</v>
      </c>
      <c r="DB140" s="64">
        <v>39283</v>
      </c>
      <c r="DC140" s="58">
        <v>48.730000000000004</v>
      </c>
      <c r="DD140" s="58">
        <v>20.77</v>
      </c>
      <c r="DE140" s="58">
        <v>9.31</v>
      </c>
      <c r="DF140" s="58">
        <v>17.810000000000002</v>
      </c>
      <c r="DG140" s="58">
        <v>3.4646030089351623</v>
      </c>
      <c r="DH140" s="58">
        <v>51.269999999999996</v>
      </c>
      <c r="DI140" s="45" t="s">
        <v>35</v>
      </c>
      <c r="DJ140" s="59" t="str">
        <f t="shared" si="63"/>
        <v>No single majority group</v>
      </c>
      <c r="DK140" s="65">
        <v>39283</v>
      </c>
      <c r="DL140" s="58">
        <v>48.730000000000004</v>
      </c>
      <c r="DM140" s="58">
        <v>20.77</v>
      </c>
      <c r="DN140" s="58">
        <v>9.31</v>
      </c>
      <c r="DO140" s="58">
        <v>51.269999999999996</v>
      </c>
      <c r="DP140" s="66">
        <v>53.55</v>
      </c>
      <c r="DQ140" s="67">
        <v>53290.71</v>
      </c>
      <c r="DR140" s="53">
        <v>20.3</v>
      </c>
      <c r="DS140" s="58">
        <v>72.3</v>
      </c>
      <c r="DT140" s="53">
        <v>41</v>
      </c>
      <c r="DU140" s="105">
        <v>2.5</v>
      </c>
      <c r="DV140" s="102">
        <v>36.200000000000003</v>
      </c>
      <c r="DW140" s="53">
        <v>79.7</v>
      </c>
      <c r="DX140" s="53">
        <v>100.33</v>
      </c>
      <c r="DY140" s="53">
        <v>55.325600000000001</v>
      </c>
      <c r="DZ140" s="63"/>
    </row>
    <row r="141" spans="1:130" s="5" customFormat="1" ht="14.25" hidden="1" customHeight="1">
      <c r="A141" s="45">
        <v>1106</v>
      </c>
      <c r="B141" s="46" t="s">
        <v>110</v>
      </c>
      <c r="C141" s="47">
        <v>2010</v>
      </c>
      <c r="D141" s="47" t="s">
        <v>100</v>
      </c>
      <c r="E141" s="46" t="s">
        <v>101</v>
      </c>
      <c r="F141" s="46">
        <v>4</v>
      </c>
      <c r="G141" s="48">
        <v>82204</v>
      </c>
      <c r="H141" s="46" t="s">
        <v>249</v>
      </c>
      <c r="I141" s="46">
        <v>1</v>
      </c>
      <c r="J141" s="46">
        <v>3</v>
      </c>
      <c r="K141" s="49" t="s">
        <v>121</v>
      </c>
      <c r="L141" s="49" t="s">
        <v>40</v>
      </c>
      <c r="M141" s="49" t="s">
        <v>35</v>
      </c>
      <c r="N141" s="49" t="s">
        <v>513</v>
      </c>
      <c r="O141" s="49"/>
      <c r="P141" s="49" t="s">
        <v>201</v>
      </c>
      <c r="Q141" s="49" t="s">
        <v>35</v>
      </c>
      <c r="R141" s="49">
        <v>2</v>
      </c>
      <c r="S141" s="50">
        <f t="shared" si="56"/>
        <v>66.666666666666657</v>
      </c>
      <c r="T141" s="49">
        <v>2</v>
      </c>
      <c r="U141" s="50">
        <f t="shared" si="57"/>
        <v>66.666666666666657</v>
      </c>
      <c r="V141" s="49" t="s">
        <v>869</v>
      </c>
      <c r="W141" s="49">
        <v>1</v>
      </c>
      <c r="X141" s="50">
        <f t="shared" si="58"/>
        <v>33.333333333333329</v>
      </c>
      <c r="Y141" s="51" t="str">
        <f t="shared" si="59"/>
        <v>Yes</v>
      </c>
      <c r="Z141" s="49" t="s">
        <v>29</v>
      </c>
      <c r="AA141" s="49" t="s">
        <v>35</v>
      </c>
      <c r="AB141" s="45" t="s">
        <v>35</v>
      </c>
      <c r="AC141" s="46" t="s">
        <v>72</v>
      </c>
      <c r="AD141" s="46" t="s">
        <v>27</v>
      </c>
      <c r="AE141" s="46" t="s">
        <v>73</v>
      </c>
      <c r="AF141" s="46" t="s">
        <v>29</v>
      </c>
      <c r="AG141" s="103">
        <v>14040</v>
      </c>
      <c r="AH141" s="52">
        <v>12866</v>
      </c>
      <c r="AI141" s="52">
        <v>12866</v>
      </c>
      <c r="AJ141" s="102">
        <v>64.150000000000006</v>
      </c>
      <c r="AK141" s="104">
        <v>128.30000000000001</v>
      </c>
      <c r="AL141" s="102">
        <v>64.150000000000006</v>
      </c>
      <c r="AM141" s="102">
        <v>70.900000000000006</v>
      </c>
      <c r="AN141" s="53">
        <f t="shared" si="60"/>
        <v>128.30000000000001</v>
      </c>
      <c r="AO141" s="53">
        <v>21.42</v>
      </c>
      <c r="AP141" s="102">
        <v>1117</v>
      </c>
      <c r="AQ141" s="102">
        <v>7.9558404558404554</v>
      </c>
      <c r="AR141" s="102">
        <v>12</v>
      </c>
      <c r="AS141" s="102">
        <f t="shared" si="68"/>
        <v>9.3269081299549195E-2</v>
      </c>
      <c r="AT141" s="102"/>
      <c r="AU141" s="102"/>
      <c r="AV141" s="102">
        <v>12</v>
      </c>
      <c r="AW141" s="102">
        <v>0.1</v>
      </c>
      <c r="AX141" s="102"/>
      <c r="AY141" s="102"/>
      <c r="AZ141" s="102"/>
      <c r="BA141" s="102"/>
      <c r="BB141" s="102"/>
      <c r="BC141" s="102"/>
      <c r="BD141" s="102"/>
      <c r="BE141" s="102"/>
      <c r="BF141" s="102"/>
      <c r="BG141" s="102"/>
      <c r="BH141" s="102"/>
      <c r="BI141" s="102"/>
      <c r="BJ141" s="102"/>
      <c r="BK141" s="102"/>
      <c r="BL141" s="102"/>
      <c r="BM141" s="102"/>
      <c r="BN141" s="102"/>
      <c r="BO141" s="102"/>
      <c r="BP141" s="102"/>
      <c r="BQ141" s="102"/>
      <c r="BR141" s="102" t="s">
        <v>967</v>
      </c>
      <c r="BS141" s="54" t="s">
        <v>29</v>
      </c>
      <c r="BT141" s="45" t="str">
        <f>IF(J141=I141, "No", IF(AJ141/AO141&lt;2, "Yes", "No"))</f>
        <v>No</v>
      </c>
      <c r="BU141" s="45" t="str">
        <f>IF(J141=I141, "No", IF(AJ141/AO141&lt;1.5, "Yes", "No"))</f>
        <v>No</v>
      </c>
      <c r="BV141" s="45" t="str">
        <f>IF(J141=I141, "No", IF((ABS(AJ141-AO141))&lt;(5/I141), "Yes", "No"))</f>
        <v>No</v>
      </c>
      <c r="BW141" s="55">
        <f t="shared" si="67"/>
        <v>92.869155322048044</v>
      </c>
      <c r="BX141" s="55"/>
      <c r="BY141" s="55">
        <v>89.234155322048053</v>
      </c>
      <c r="BZ141" s="55"/>
      <c r="CA141" s="45">
        <v>2008</v>
      </c>
      <c r="CB141" s="55">
        <f t="shared" si="61"/>
        <v>40.283039544131</v>
      </c>
      <c r="CC141" s="46" t="s">
        <v>490</v>
      </c>
      <c r="CD141" s="46" t="s">
        <v>71</v>
      </c>
      <c r="CE141" s="46" t="s">
        <v>783</v>
      </c>
      <c r="CF141" s="46">
        <v>1</v>
      </c>
      <c r="CG141" s="46" t="str">
        <f t="shared" si="62"/>
        <v>No</v>
      </c>
      <c r="CH141" s="46" t="s">
        <v>29</v>
      </c>
      <c r="CI141" s="56">
        <v>300</v>
      </c>
      <c r="CJ141" s="46">
        <v>50</v>
      </c>
      <c r="CK141" s="46" t="s">
        <v>23</v>
      </c>
      <c r="CL141" s="49" t="s">
        <v>35</v>
      </c>
      <c r="CM141" s="102">
        <f>(1/3)*100</f>
        <v>33.333333333333329</v>
      </c>
      <c r="CN141" s="102"/>
      <c r="CO141" s="102"/>
      <c r="CP141" s="46" t="s">
        <v>23</v>
      </c>
      <c r="CQ141" s="46" t="s">
        <v>24</v>
      </c>
      <c r="CR141" s="46">
        <v>7</v>
      </c>
      <c r="CS141" s="46" t="s">
        <v>855</v>
      </c>
      <c r="CT141" s="46" t="s">
        <v>856</v>
      </c>
      <c r="CU141" s="46" t="s">
        <v>74</v>
      </c>
      <c r="CV141" s="46">
        <v>0</v>
      </c>
      <c r="CW141" s="46">
        <v>1</v>
      </c>
      <c r="CX141" s="49" t="s">
        <v>745</v>
      </c>
      <c r="CY141" s="49" t="s">
        <v>36</v>
      </c>
      <c r="CZ141" s="49">
        <v>0</v>
      </c>
      <c r="DA141" s="49">
        <v>1</v>
      </c>
      <c r="DB141" s="64">
        <v>31939</v>
      </c>
      <c r="DC141" s="58">
        <v>17.549999999999997</v>
      </c>
      <c r="DD141" s="58">
        <v>52.7</v>
      </c>
      <c r="DE141" s="58">
        <v>16.989999999999998</v>
      </c>
      <c r="DF141" s="58">
        <v>8.48</v>
      </c>
      <c r="DG141" s="58">
        <v>4.2894267196843989</v>
      </c>
      <c r="DH141" s="58">
        <v>82.45</v>
      </c>
      <c r="DI141" s="45" t="s">
        <v>35</v>
      </c>
      <c r="DJ141" s="59" t="str">
        <f t="shared" si="63"/>
        <v>African American</v>
      </c>
      <c r="DK141" s="65">
        <v>31939</v>
      </c>
      <c r="DL141" s="58">
        <v>17.549999999999997</v>
      </c>
      <c r="DM141" s="58">
        <v>52.7</v>
      </c>
      <c r="DN141" s="58">
        <v>16.989999999999998</v>
      </c>
      <c r="DO141" s="58">
        <v>82.45</v>
      </c>
      <c r="DP141" s="66">
        <v>53.55</v>
      </c>
      <c r="DQ141" s="67">
        <v>53290.71</v>
      </c>
      <c r="DR141" s="53">
        <v>20.3</v>
      </c>
      <c r="DS141" s="58">
        <v>72.3</v>
      </c>
      <c r="DT141" s="53">
        <v>41</v>
      </c>
      <c r="DU141" s="55">
        <v>2.5</v>
      </c>
      <c r="DV141" s="50">
        <v>36.200000000000003</v>
      </c>
      <c r="DW141" s="53">
        <v>79.7</v>
      </c>
      <c r="DX141" s="53">
        <v>100.33</v>
      </c>
      <c r="DY141" s="53">
        <v>55.325600000000001</v>
      </c>
      <c r="DZ141" s="63"/>
    </row>
    <row r="142" spans="1:130" s="5" customFormat="1" ht="14.25" hidden="1" customHeight="1">
      <c r="A142" s="45">
        <v>1100</v>
      </c>
      <c r="B142" s="46" t="s">
        <v>110</v>
      </c>
      <c r="C142" s="47">
        <v>2010</v>
      </c>
      <c r="D142" s="47" t="s">
        <v>38</v>
      </c>
      <c r="E142" s="46" t="s">
        <v>22</v>
      </c>
      <c r="F142" s="46">
        <v>4</v>
      </c>
      <c r="G142" s="48">
        <v>137000</v>
      </c>
      <c r="H142" s="46" t="s">
        <v>249</v>
      </c>
      <c r="I142" s="46">
        <v>1</v>
      </c>
      <c r="J142" s="46">
        <v>10</v>
      </c>
      <c r="K142" s="49" t="s">
        <v>145</v>
      </c>
      <c r="L142" s="49" t="s">
        <v>40</v>
      </c>
      <c r="M142" s="49" t="s">
        <v>35</v>
      </c>
      <c r="N142" s="49" t="s">
        <v>512</v>
      </c>
      <c r="O142" s="49"/>
      <c r="P142" s="49" t="s">
        <v>34</v>
      </c>
      <c r="Q142" s="49" t="s">
        <v>35</v>
      </c>
      <c r="R142" s="49">
        <v>3</v>
      </c>
      <c r="S142" s="50">
        <f t="shared" si="56"/>
        <v>30</v>
      </c>
      <c r="T142" s="49">
        <v>4</v>
      </c>
      <c r="U142" s="50">
        <f t="shared" si="57"/>
        <v>40</v>
      </c>
      <c r="V142" s="49" t="s">
        <v>863</v>
      </c>
      <c r="W142" s="49">
        <v>2</v>
      </c>
      <c r="X142" s="50">
        <f t="shared" si="58"/>
        <v>20</v>
      </c>
      <c r="Y142" s="51" t="str">
        <f t="shared" si="59"/>
        <v>Yes</v>
      </c>
      <c r="Z142" s="49" t="s">
        <v>35</v>
      </c>
      <c r="AA142" s="49" t="s">
        <v>23</v>
      </c>
      <c r="AB142" s="49" t="s">
        <v>23</v>
      </c>
      <c r="AC142" s="46" t="s">
        <v>144</v>
      </c>
      <c r="AD142" s="46" t="s">
        <v>27</v>
      </c>
      <c r="AE142" s="46" t="s">
        <v>73</v>
      </c>
      <c r="AF142" s="46" t="s">
        <v>29</v>
      </c>
      <c r="AG142" s="103">
        <v>122268</v>
      </c>
      <c r="AH142" s="52">
        <v>119408</v>
      </c>
      <c r="AI142" s="52">
        <v>119408</v>
      </c>
      <c r="AJ142" s="102">
        <v>24.45</v>
      </c>
      <c r="AK142" s="104">
        <v>48.9</v>
      </c>
      <c r="AL142" s="102">
        <v>50.96</v>
      </c>
      <c r="AM142" s="102">
        <v>50.96</v>
      </c>
      <c r="AN142" s="53">
        <f t="shared" si="60"/>
        <v>101.92</v>
      </c>
      <c r="AO142" s="53">
        <v>33.74</v>
      </c>
      <c r="AP142" s="102">
        <v>2306</v>
      </c>
      <c r="AQ142" s="102">
        <v>1.886020872182419</v>
      </c>
      <c r="AR142" s="102">
        <v>401</v>
      </c>
      <c r="AS142" s="102">
        <f t="shared" si="68"/>
        <v>0.33582339541739248</v>
      </c>
      <c r="AT142" s="102"/>
      <c r="AU142" s="102"/>
      <c r="AV142" s="102">
        <v>401</v>
      </c>
      <c r="AW142" s="102">
        <v>0.33582339541739248</v>
      </c>
      <c r="AX142" s="102"/>
      <c r="AY142" s="102"/>
      <c r="AZ142" s="102"/>
      <c r="BA142" s="102"/>
      <c r="BB142" s="102"/>
      <c r="BC142" s="102"/>
      <c r="BD142" s="102"/>
      <c r="BE142" s="102"/>
      <c r="BF142" s="102"/>
      <c r="BG142" s="102"/>
      <c r="BH142" s="102">
        <v>2056</v>
      </c>
      <c r="BI142" s="102">
        <v>1.7218276832373041</v>
      </c>
      <c r="BJ142" s="50"/>
      <c r="BK142" s="50"/>
      <c r="BL142" s="50"/>
      <c r="BM142" s="50"/>
      <c r="BN142" s="102"/>
      <c r="BO142" s="102"/>
      <c r="BP142" s="102"/>
      <c r="BQ142" s="102"/>
      <c r="BR142" s="102" t="s">
        <v>967</v>
      </c>
      <c r="BS142" s="54" t="s">
        <v>35</v>
      </c>
      <c r="BT142" s="45" t="str">
        <f>IF(J142=I142, "No", IF(AJ142/AO142&lt;2, "Yes", "No"))</f>
        <v>Yes</v>
      </c>
      <c r="BU142" s="45" t="str">
        <f>IF(J142=I142, "No", IF(AJ142/AO142&lt;1.5, "Yes", "No"))</f>
        <v>Yes</v>
      </c>
      <c r="BV142" s="45" t="str">
        <f>IF(J142=I142, "No", IF((ABS(AJ142-AO142))&lt;(5/I142), "Yes", "No"))</f>
        <v>No</v>
      </c>
      <c r="BW142" s="55">
        <f t="shared" si="67"/>
        <v>92.869155322048044</v>
      </c>
      <c r="BX142" s="55">
        <f>(151308/(151308+11618))*100</f>
        <v>92.869155322048044</v>
      </c>
      <c r="BY142" s="55">
        <v>89.234155322048053</v>
      </c>
      <c r="BZ142" s="55">
        <f>BX142-(0.0727*100/2)</f>
        <v>89.234155322048039</v>
      </c>
      <c r="CA142" s="45">
        <v>2008</v>
      </c>
      <c r="CB142" s="55">
        <f t="shared" si="61"/>
        <v>47.760334379937206</v>
      </c>
      <c r="CC142" s="46" t="s">
        <v>490</v>
      </c>
      <c r="CD142" s="46" t="s">
        <v>71</v>
      </c>
      <c r="CE142" s="46" t="s">
        <v>783</v>
      </c>
      <c r="CF142" s="46">
        <v>1</v>
      </c>
      <c r="CG142" s="46" t="str">
        <f t="shared" si="62"/>
        <v>No</v>
      </c>
      <c r="CH142" s="46" t="s">
        <v>35</v>
      </c>
      <c r="CI142" s="56">
        <v>300</v>
      </c>
      <c r="CJ142" s="46">
        <v>50</v>
      </c>
      <c r="CK142" s="46" t="s">
        <v>23</v>
      </c>
      <c r="CL142" s="49" t="s">
        <v>29</v>
      </c>
      <c r="CM142" s="50">
        <v>0</v>
      </c>
      <c r="CN142" s="50">
        <v>1576106.4825000002</v>
      </c>
      <c r="CO142" s="50" t="s">
        <v>29</v>
      </c>
      <c r="CP142" s="46" t="s">
        <v>23</v>
      </c>
      <c r="CQ142" s="46" t="s">
        <v>23</v>
      </c>
      <c r="CR142" s="46">
        <v>7</v>
      </c>
      <c r="CS142" s="46" t="s">
        <v>855</v>
      </c>
      <c r="CT142" s="46" t="s">
        <v>53</v>
      </c>
      <c r="CU142" s="46" t="s">
        <v>74</v>
      </c>
      <c r="CV142" s="46">
        <v>0</v>
      </c>
      <c r="CW142" s="46">
        <v>1</v>
      </c>
      <c r="CX142" s="49" t="s">
        <v>745</v>
      </c>
      <c r="CY142" s="49" t="s">
        <v>36</v>
      </c>
      <c r="CZ142" s="49">
        <v>0</v>
      </c>
      <c r="DA142" s="49">
        <v>1</v>
      </c>
      <c r="DB142" s="64">
        <v>250015</v>
      </c>
      <c r="DC142" s="58">
        <v>34.43</v>
      </c>
      <c r="DD142" s="58">
        <v>32.769999999999996</v>
      </c>
      <c r="DE142" s="58">
        <v>12.4</v>
      </c>
      <c r="DF142" s="58">
        <v>16.309999999999999</v>
      </c>
      <c r="DG142" s="58">
        <v>4.0900000000000052</v>
      </c>
      <c r="DH142" s="58">
        <v>65.569999999999993</v>
      </c>
      <c r="DI142" s="45" t="s">
        <v>35</v>
      </c>
      <c r="DJ142" s="59" t="str">
        <f t="shared" si="63"/>
        <v>No single majority group</v>
      </c>
      <c r="DK142" s="65">
        <v>250015</v>
      </c>
      <c r="DL142" s="58">
        <v>34.43</v>
      </c>
      <c r="DM142" s="58">
        <v>32.769999999999996</v>
      </c>
      <c r="DN142" s="58">
        <v>12.4</v>
      </c>
      <c r="DO142" s="58">
        <v>65.569999999999993</v>
      </c>
      <c r="DP142" s="66">
        <v>53.55</v>
      </c>
      <c r="DQ142" s="67">
        <v>53290.71</v>
      </c>
      <c r="DR142" s="53">
        <v>20.3</v>
      </c>
      <c r="DS142" s="58">
        <v>72.3</v>
      </c>
      <c r="DT142" s="53">
        <v>41</v>
      </c>
      <c r="DU142" s="55">
        <v>2.5</v>
      </c>
      <c r="DV142" s="50">
        <v>36.200000000000003</v>
      </c>
      <c r="DW142" s="53">
        <v>79.7</v>
      </c>
      <c r="DX142" s="53">
        <v>100.33</v>
      </c>
      <c r="DY142" s="53">
        <v>55.325600000000001</v>
      </c>
      <c r="DZ142" s="63"/>
    </row>
    <row r="143" spans="1:130" s="5" customFormat="1" ht="14.25" hidden="1" customHeight="1">
      <c r="A143" s="45">
        <v>1103</v>
      </c>
      <c r="B143" s="46" t="s">
        <v>110</v>
      </c>
      <c r="C143" s="47">
        <v>2010</v>
      </c>
      <c r="D143" s="47" t="s">
        <v>116</v>
      </c>
      <c r="E143" s="46" t="s">
        <v>92</v>
      </c>
      <c r="F143" s="46">
        <v>4</v>
      </c>
      <c r="G143" s="48">
        <v>10000</v>
      </c>
      <c r="H143" s="46" t="s">
        <v>332</v>
      </c>
      <c r="I143" s="46">
        <v>1</v>
      </c>
      <c r="J143" s="46">
        <v>1</v>
      </c>
      <c r="K143" s="49" t="s">
        <v>147</v>
      </c>
      <c r="L143" s="49" t="s">
        <v>30</v>
      </c>
      <c r="M143" s="49" t="s">
        <v>29</v>
      </c>
      <c r="N143" s="49" t="s">
        <v>513</v>
      </c>
      <c r="O143" s="49"/>
      <c r="P143" s="49" t="s">
        <v>34</v>
      </c>
      <c r="Q143" s="49" t="s">
        <v>35</v>
      </c>
      <c r="R143" s="49">
        <v>0</v>
      </c>
      <c r="S143" s="50">
        <f t="shared" si="56"/>
        <v>0</v>
      </c>
      <c r="T143" s="49">
        <v>1</v>
      </c>
      <c r="U143" s="50">
        <f t="shared" si="57"/>
        <v>100</v>
      </c>
      <c r="V143" s="49" t="s">
        <v>173</v>
      </c>
      <c r="W143" s="49">
        <v>0</v>
      </c>
      <c r="X143" s="50">
        <f t="shared" si="58"/>
        <v>0</v>
      </c>
      <c r="Y143" s="51" t="str">
        <f t="shared" si="59"/>
        <v>No</v>
      </c>
      <c r="Z143" s="49" t="s">
        <v>29</v>
      </c>
      <c r="AA143" s="49" t="s">
        <v>35</v>
      </c>
      <c r="AB143" s="49" t="s">
        <v>29</v>
      </c>
      <c r="AC143" s="46" t="s">
        <v>72</v>
      </c>
      <c r="AD143" s="46" t="s">
        <v>27</v>
      </c>
      <c r="AE143" s="46" t="s">
        <v>73</v>
      </c>
      <c r="AF143" s="46" t="s">
        <v>29</v>
      </c>
      <c r="AG143" s="103">
        <v>15243</v>
      </c>
      <c r="AH143" s="52">
        <v>10062</v>
      </c>
      <c r="AI143" s="52">
        <v>10062</v>
      </c>
      <c r="AJ143" s="102">
        <v>97.72</v>
      </c>
      <c r="AK143" s="104">
        <v>195.44</v>
      </c>
      <c r="AL143" s="102">
        <v>97.72</v>
      </c>
      <c r="AM143" s="102" t="s">
        <v>23</v>
      </c>
      <c r="AN143" s="53">
        <f t="shared" si="60"/>
        <v>195.44</v>
      </c>
      <c r="AO143" s="53"/>
      <c r="AP143" s="102">
        <v>5114</v>
      </c>
      <c r="AQ143" s="102">
        <v>33.549826149708061</v>
      </c>
      <c r="AR143" s="102">
        <v>5</v>
      </c>
      <c r="AS143" s="102">
        <f t="shared" si="68"/>
        <v>4.9691910157026432E-2</v>
      </c>
      <c r="AT143" s="102"/>
      <c r="AU143" s="102"/>
      <c r="AV143" s="50">
        <v>5</v>
      </c>
      <c r="AW143" s="50">
        <v>4.9691910157026432E-2</v>
      </c>
      <c r="AX143" s="102"/>
      <c r="AY143" s="102"/>
      <c r="AZ143" s="102"/>
      <c r="BA143" s="102"/>
      <c r="BB143" s="102"/>
      <c r="BC143" s="102"/>
      <c r="BD143" s="102"/>
      <c r="BE143" s="102"/>
      <c r="BF143" s="102"/>
      <c r="BG143" s="102"/>
      <c r="BH143" s="102"/>
      <c r="BI143" s="102"/>
      <c r="BJ143" s="50"/>
      <c r="BK143" s="50"/>
      <c r="BL143" s="50"/>
      <c r="BM143" s="50"/>
      <c r="BN143" s="102"/>
      <c r="BO143" s="102"/>
      <c r="BP143" s="102"/>
      <c r="BQ143" s="102"/>
      <c r="BR143" s="102" t="s">
        <v>967</v>
      </c>
      <c r="BS143" s="54"/>
      <c r="BT143" s="45"/>
      <c r="BU143" s="45"/>
      <c r="BV143" s="45"/>
      <c r="BW143" s="55">
        <f t="shared" si="67"/>
        <v>92.869155322048044</v>
      </c>
      <c r="BX143" s="55"/>
      <c r="BY143" s="55">
        <v>89.234155322048053</v>
      </c>
      <c r="BZ143" s="55"/>
      <c r="CA143" s="45">
        <v>2008</v>
      </c>
      <c r="CB143" s="55">
        <f t="shared" si="61"/>
        <v>28.098296565205249</v>
      </c>
      <c r="CC143" s="46" t="s">
        <v>490</v>
      </c>
      <c r="CD143" s="46" t="s">
        <v>71</v>
      </c>
      <c r="CE143" s="46" t="s">
        <v>783</v>
      </c>
      <c r="CF143" s="46">
        <v>1</v>
      </c>
      <c r="CG143" s="46" t="str">
        <f t="shared" si="62"/>
        <v>No</v>
      </c>
      <c r="CH143" s="46" t="s">
        <v>29</v>
      </c>
      <c r="CI143" s="56">
        <v>300</v>
      </c>
      <c r="CJ143" s="46">
        <v>50</v>
      </c>
      <c r="CK143" s="46" t="s">
        <v>23</v>
      </c>
      <c r="CL143" s="49" t="s">
        <v>29</v>
      </c>
      <c r="CM143" s="50">
        <v>0</v>
      </c>
      <c r="CN143" s="50"/>
      <c r="CO143" s="50"/>
      <c r="CP143" s="46" t="s">
        <v>23</v>
      </c>
      <c r="CQ143" s="46" t="s">
        <v>24</v>
      </c>
      <c r="CR143" s="46">
        <v>7</v>
      </c>
      <c r="CS143" s="46" t="s">
        <v>855</v>
      </c>
      <c r="CT143" s="46" t="s">
        <v>856</v>
      </c>
      <c r="CU143" s="46" t="s">
        <v>74</v>
      </c>
      <c r="CV143" s="46">
        <v>0</v>
      </c>
      <c r="CW143" s="46">
        <v>1</v>
      </c>
      <c r="CX143" s="49" t="s">
        <v>745</v>
      </c>
      <c r="CY143" s="49" t="s">
        <v>36</v>
      </c>
      <c r="CZ143" s="49">
        <v>0</v>
      </c>
      <c r="DA143" s="49">
        <v>1</v>
      </c>
      <c r="DB143" s="64">
        <v>35810</v>
      </c>
      <c r="DC143" s="58">
        <v>33.550000000000004</v>
      </c>
      <c r="DD143" s="58">
        <v>20.76</v>
      </c>
      <c r="DE143" s="58">
        <v>10.100000000000001</v>
      </c>
      <c r="DF143" s="58">
        <v>31.34</v>
      </c>
      <c r="DG143" s="58">
        <v>4.2111142139067299</v>
      </c>
      <c r="DH143" s="58">
        <v>66.45</v>
      </c>
      <c r="DI143" s="45" t="s">
        <v>35</v>
      </c>
      <c r="DJ143" s="59" t="str">
        <f t="shared" si="63"/>
        <v>No single majority group</v>
      </c>
      <c r="DK143" s="65">
        <v>35810</v>
      </c>
      <c r="DL143" s="58">
        <v>33.550000000000004</v>
      </c>
      <c r="DM143" s="58">
        <v>20.76</v>
      </c>
      <c r="DN143" s="58">
        <v>10.100000000000001</v>
      </c>
      <c r="DO143" s="58">
        <v>66.45</v>
      </c>
      <c r="DP143" s="66">
        <v>53.55</v>
      </c>
      <c r="DQ143" s="67">
        <v>53290.71</v>
      </c>
      <c r="DR143" s="53">
        <v>20.3</v>
      </c>
      <c r="DS143" s="58">
        <v>72.3</v>
      </c>
      <c r="DT143" s="53">
        <v>41</v>
      </c>
      <c r="DU143" s="55">
        <v>2.5</v>
      </c>
      <c r="DV143" s="50">
        <v>36.200000000000003</v>
      </c>
      <c r="DW143" s="53">
        <v>79.7</v>
      </c>
      <c r="DX143" s="53">
        <v>100.33</v>
      </c>
      <c r="DY143" s="53">
        <v>55.325600000000001</v>
      </c>
      <c r="DZ143" s="63"/>
    </row>
    <row r="144" spans="1:130" s="5" customFormat="1" ht="14.25" hidden="1" customHeight="1">
      <c r="A144" s="45">
        <v>1105</v>
      </c>
      <c r="B144" s="46" t="s">
        <v>110</v>
      </c>
      <c r="C144" s="47">
        <v>2010</v>
      </c>
      <c r="D144" s="47" t="s">
        <v>119</v>
      </c>
      <c r="E144" s="46" t="s">
        <v>80</v>
      </c>
      <c r="F144" s="46">
        <v>4</v>
      </c>
      <c r="G144" s="48">
        <v>10000</v>
      </c>
      <c r="H144" s="46" t="s">
        <v>332</v>
      </c>
      <c r="I144" s="46">
        <v>1</v>
      </c>
      <c r="J144" s="46">
        <v>2</v>
      </c>
      <c r="K144" s="49" t="s">
        <v>148</v>
      </c>
      <c r="L144" s="49" t="s">
        <v>30</v>
      </c>
      <c r="M144" s="49" t="s">
        <v>29</v>
      </c>
      <c r="N144" s="49" t="s">
        <v>513</v>
      </c>
      <c r="O144" s="49"/>
      <c r="P144" s="49" t="s">
        <v>34</v>
      </c>
      <c r="Q144" s="49" t="s">
        <v>35</v>
      </c>
      <c r="R144" s="49">
        <v>0</v>
      </c>
      <c r="S144" s="50">
        <f t="shared" si="56"/>
        <v>0</v>
      </c>
      <c r="T144" s="49">
        <v>1</v>
      </c>
      <c r="U144" s="50">
        <f t="shared" si="57"/>
        <v>50</v>
      </c>
      <c r="V144" s="49" t="s">
        <v>173</v>
      </c>
      <c r="W144" s="49">
        <v>0</v>
      </c>
      <c r="X144" s="50">
        <f t="shared" si="58"/>
        <v>0</v>
      </c>
      <c r="Y144" s="51" t="str">
        <f t="shared" si="59"/>
        <v>No</v>
      </c>
      <c r="Z144" s="49" t="s">
        <v>29</v>
      </c>
      <c r="AA144" s="49" t="s">
        <v>35</v>
      </c>
      <c r="AB144" s="49" t="s">
        <v>29</v>
      </c>
      <c r="AC144" s="46" t="s">
        <v>72</v>
      </c>
      <c r="AD144" s="46" t="s">
        <v>27</v>
      </c>
      <c r="AE144" s="46" t="s">
        <v>73</v>
      </c>
      <c r="AF144" s="46" t="s">
        <v>29</v>
      </c>
      <c r="AG144" s="103">
        <v>23884</v>
      </c>
      <c r="AH144" s="52">
        <v>18962</v>
      </c>
      <c r="AI144" s="52">
        <v>18962</v>
      </c>
      <c r="AJ144" s="102">
        <v>68.650000000000006</v>
      </c>
      <c r="AK144" s="104">
        <v>137.30000000000001</v>
      </c>
      <c r="AL144" s="102">
        <v>68.650000000000006</v>
      </c>
      <c r="AM144" s="102">
        <v>68.66</v>
      </c>
      <c r="AN144" s="53">
        <f t="shared" si="60"/>
        <v>137.30000000000001</v>
      </c>
      <c r="AO144" s="53"/>
      <c r="AP144" s="102">
        <v>4871</v>
      </c>
      <c r="AQ144" s="102">
        <v>20.394406297102663</v>
      </c>
      <c r="AR144" s="102">
        <v>16</v>
      </c>
      <c r="AS144" s="102">
        <f t="shared" si="68"/>
        <v>8.4379284885560596E-2</v>
      </c>
      <c r="AT144" s="102"/>
      <c r="AU144" s="102"/>
      <c r="AV144" s="102">
        <v>16</v>
      </c>
      <c r="AW144" s="102">
        <v>0.1</v>
      </c>
      <c r="AX144" s="102"/>
      <c r="AY144" s="102"/>
      <c r="AZ144" s="102"/>
      <c r="BA144" s="102"/>
      <c r="BB144" s="102"/>
      <c r="BC144" s="102"/>
      <c r="BD144" s="102"/>
      <c r="BE144" s="102"/>
      <c r="BF144" s="102"/>
      <c r="BG144" s="102"/>
      <c r="BH144" s="102"/>
      <c r="BI144" s="102"/>
      <c r="BJ144" s="102"/>
      <c r="BK144" s="102"/>
      <c r="BL144" s="102"/>
      <c r="BM144" s="102"/>
      <c r="BN144" s="102"/>
      <c r="BO144" s="102"/>
      <c r="BP144" s="102"/>
      <c r="BQ144" s="102"/>
      <c r="BR144" s="102" t="s">
        <v>967</v>
      </c>
      <c r="BS144" s="54"/>
      <c r="BT144" s="45"/>
      <c r="BU144" s="45"/>
      <c r="BV144" s="45"/>
      <c r="BW144" s="55">
        <f t="shared" si="67"/>
        <v>92.869155322048044</v>
      </c>
      <c r="BX144" s="55"/>
      <c r="BY144" s="55">
        <v>89.234155322048053</v>
      </c>
      <c r="BZ144" s="55"/>
      <c r="CA144" s="45">
        <v>2008</v>
      </c>
      <c r="CB144" s="55">
        <f t="shared" si="61"/>
        <v>48.270244125957795</v>
      </c>
      <c r="CC144" s="46" t="s">
        <v>490</v>
      </c>
      <c r="CD144" s="46" t="s">
        <v>71</v>
      </c>
      <c r="CE144" s="46" t="s">
        <v>783</v>
      </c>
      <c r="CF144" s="46">
        <v>1</v>
      </c>
      <c r="CG144" s="46" t="str">
        <f t="shared" si="62"/>
        <v>No</v>
      </c>
      <c r="CH144" s="46" t="s">
        <v>29</v>
      </c>
      <c r="CI144" s="56">
        <v>300</v>
      </c>
      <c r="CJ144" s="46">
        <v>50</v>
      </c>
      <c r="CK144" s="46" t="s">
        <v>23</v>
      </c>
      <c r="CL144" s="49" t="s">
        <v>29</v>
      </c>
      <c r="CM144" s="50">
        <v>0</v>
      </c>
      <c r="CN144" s="50"/>
      <c r="CO144" s="50"/>
      <c r="CP144" s="46" t="s">
        <v>23</v>
      </c>
      <c r="CQ144" s="46" t="s">
        <v>24</v>
      </c>
      <c r="CR144" s="46">
        <v>7</v>
      </c>
      <c r="CS144" s="46" t="s">
        <v>855</v>
      </c>
      <c r="CT144" s="46" t="s">
        <v>856</v>
      </c>
      <c r="CU144" s="46" t="s">
        <v>74</v>
      </c>
      <c r="CV144" s="46">
        <v>0</v>
      </c>
      <c r="CW144" s="46">
        <v>1</v>
      </c>
      <c r="CX144" s="49" t="s">
        <v>745</v>
      </c>
      <c r="CY144" s="49" t="s">
        <v>36</v>
      </c>
      <c r="CZ144" s="49">
        <v>0</v>
      </c>
      <c r="DA144" s="49">
        <v>1</v>
      </c>
      <c r="DB144" s="64">
        <v>39283</v>
      </c>
      <c r="DC144" s="58">
        <v>48.730000000000004</v>
      </c>
      <c r="DD144" s="58">
        <v>20.77</v>
      </c>
      <c r="DE144" s="58">
        <v>9.31</v>
      </c>
      <c r="DF144" s="58">
        <v>17.810000000000002</v>
      </c>
      <c r="DG144" s="58">
        <v>3.4646030089351623</v>
      </c>
      <c r="DH144" s="58">
        <v>51.269999999999996</v>
      </c>
      <c r="DI144" s="45" t="s">
        <v>35</v>
      </c>
      <c r="DJ144" s="59" t="str">
        <f t="shared" si="63"/>
        <v>No single majority group</v>
      </c>
      <c r="DK144" s="65">
        <v>39283</v>
      </c>
      <c r="DL144" s="58">
        <v>48.730000000000004</v>
      </c>
      <c r="DM144" s="58">
        <v>20.77</v>
      </c>
      <c r="DN144" s="58">
        <v>9.31</v>
      </c>
      <c r="DO144" s="58">
        <v>51.269999999999996</v>
      </c>
      <c r="DP144" s="66">
        <v>53.55</v>
      </c>
      <c r="DQ144" s="67">
        <v>53290.71</v>
      </c>
      <c r="DR144" s="53">
        <v>20.3</v>
      </c>
      <c r="DS144" s="58">
        <v>72.3</v>
      </c>
      <c r="DT144" s="53">
        <v>41</v>
      </c>
      <c r="DU144" s="55">
        <v>2.5</v>
      </c>
      <c r="DV144" s="50">
        <v>36.200000000000003</v>
      </c>
      <c r="DW144" s="53">
        <v>79.7</v>
      </c>
      <c r="DX144" s="53">
        <v>100.33</v>
      </c>
      <c r="DY144" s="53">
        <v>55.325600000000001</v>
      </c>
      <c r="DZ144" s="63"/>
    </row>
    <row r="145" spans="1:130" s="5" customFormat="1" ht="14.25" hidden="1" customHeight="1">
      <c r="A145" s="45">
        <v>1107</v>
      </c>
      <c r="B145" s="46" t="s">
        <v>110</v>
      </c>
      <c r="C145" s="47">
        <v>2010</v>
      </c>
      <c r="D145" s="47" t="s">
        <v>122</v>
      </c>
      <c r="E145" s="71" t="s">
        <v>101</v>
      </c>
      <c r="F145" s="46">
        <v>4</v>
      </c>
      <c r="G145" s="48">
        <v>10000</v>
      </c>
      <c r="H145" s="46" t="s">
        <v>332</v>
      </c>
      <c r="I145" s="46">
        <v>1</v>
      </c>
      <c r="J145" s="46">
        <v>1</v>
      </c>
      <c r="K145" s="49" t="s">
        <v>149</v>
      </c>
      <c r="L145" s="49" t="s">
        <v>30</v>
      </c>
      <c r="M145" s="49" t="s">
        <v>29</v>
      </c>
      <c r="N145" s="49" t="s">
        <v>513</v>
      </c>
      <c r="O145" s="49"/>
      <c r="P145" s="49" t="s">
        <v>31</v>
      </c>
      <c r="Q145" s="49" t="s">
        <v>29</v>
      </c>
      <c r="R145" s="49">
        <v>0</v>
      </c>
      <c r="S145" s="50">
        <f t="shared" si="56"/>
        <v>0</v>
      </c>
      <c r="T145" s="49">
        <v>0</v>
      </c>
      <c r="U145" s="50">
        <f t="shared" si="57"/>
        <v>0</v>
      </c>
      <c r="V145" s="45"/>
      <c r="W145" s="49">
        <v>0</v>
      </c>
      <c r="X145" s="50">
        <f t="shared" si="58"/>
        <v>0</v>
      </c>
      <c r="Y145" s="51" t="str">
        <f t="shared" si="59"/>
        <v>No</v>
      </c>
      <c r="Z145" s="49" t="s">
        <v>29</v>
      </c>
      <c r="AA145" s="49" t="s">
        <v>29</v>
      </c>
      <c r="AB145" s="49" t="s">
        <v>29</v>
      </c>
      <c r="AC145" s="46" t="s">
        <v>72</v>
      </c>
      <c r="AD145" s="46" t="s">
        <v>27</v>
      </c>
      <c r="AE145" s="46" t="s">
        <v>73</v>
      </c>
      <c r="AF145" s="46" t="s">
        <v>29</v>
      </c>
      <c r="AG145" s="103">
        <v>14040</v>
      </c>
      <c r="AH145" s="52">
        <v>10087</v>
      </c>
      <c r="AI145" s="52">
        <v>10087</v>
      </c>
      <c r="AJ145" s="102">
        <v>97.47</v>
      </c>
      <c r="AK145" s="104">
        <v>194.94</v>
      </c>
      <c r="AL145" s="102">
        <v>97.47</v>
      </c>
      <c r="AM145" s="102" t="s">
        <v>23</v>
      </c>
      <c r="AN145" s="53">
        <f t="shared" si="60"/>
        <v>194.94</v>
      </c>
      <c r="AO145" s="53"/>
      <c r="AP145" s="102">
        <v>3868</v>
      </c>
      <c r="AQ145" s="102">
        <v>27.549857549857549</v>
      </c>
      <c r="AR145" s="102">
        <v>7</v>
      </c>
      <c r="AS145" s="50">
        <f t="shared" si="68"/>
        <v>6.9396252602359473E-2</v>
      </c>
      <c r="AT145" s="102"/>
      <c r="AU145" s="102"/>
      <c r="AV145" s="102">
        <v>7</v>
      </c>
      <c r="AW145" s="102">
        <v>0.1</v>
      </c>
      <c r="AX145" s="50"/>
      <c r="AY145" s="50"/>
      <c r="AZ145" s="102"/>
      <c r="BA145" s="102"/>
      <c r="BB145" s="102"/>
      <c r="BC145" s="102"/>
      <c r="BD145" s="50"/>
      <c r="BE145" s="50"/>
      <c r="BF145" s="50"/>
      <c r="BG145" s="50"/>
      <c r="BH145" s="102"/>
      <c r="BI145" s="102"/>
      <c r="BJ145" s="102"/>
      <c r="BK145" s="102"/>
      <c r="BL145" s="102"/>
      <c r="BM145" s="102"/>
      <c r="BN145" s="102"/>
      <c r="BO145" s="50"/>
      <c r="BP145" s="50"/>
      <c r="BQ145" s="50"/>
      <c r="BR145" s="102" t="s">
        <v>967</v>
      </c>
      <c r="BS145" s="54"/>
      <c r="BT145" s="45"/>
      <c r="BU145" s="45"/>
      <c r="BV145" s="45"/>
      <c r="BW145" s="55">
        <f t="shared" si="67"/>
        <v>92.869155322048044</v>
      </c>
      <c r="BX145" s="55"/>
      <c r="BY145" s="55">
        <v>89.234155322048053</v>
      </c>
      <c r="BZ145" s="55"/>
      <c r="CA145" s="45">
        <v>2008</v>
      </c>
      <c r="CB145" s="55">
        <f t="shared" si="61"/>
        <v>31.582078336829582</v>
      </c>
      <c r="CC145" s="46" t="s">
        <v>490</v>
      </c>
      <c r="CD145" s="46" t="s">
        <v>71</v>
      </c>
      <c r="CE145" s="46" t="s">
        <v>783</v>
      </c>
      <c r="CF145" s="46">
        <v>1</v>
      </c>
      <c r="CG145" s="46" t="str">
        <f t="shared" si="62"/>
        <v>No</v>
      </c>
      <c r="CH145" s="46" t="s">
        <v>29</v>
      </c>
      <c r="CI145" s="56">
        <v>300</v>
      </c>
      <c r="CJ145" s="46">
        <v>50</v>
      </c>
      <c r="CK145" s="46" t="s">
        <v>23</v>
      </c>
      <c r="CL145" s="49" t="s">
        <v>29</v>
      </c>
      <c r="CM145" s="50">
        <v>0</v>
      </c>
      <c r="CN145" s="50"/>
      <c r="CO145" s="50"/>
      <c r="CP145" s="46" t="s">
        <v>23</v>
      </c>
      <c r="CQ145" s="46" t="s">
        <v>24</v>
      </c>
      <c r="CR145" s="46">
        <v>7</v>
      </c>
      <c r="CS145" s="46" t="s">
        <v>855</v>
      </c>
      <c r="CT145" s="46" t="s">
        <v>856</v>
      </c>
      <c r="CU145" s="46" t="s">
        <v>74</v>
      </c>
      <c r="CV145" s="46">
        <v>0</v>
      </c>
      <c r="CW145" s="46">
        <v>1</v>
      </c>
      <c r="CX145" s="49" t="s">
        <v>745</v>
      </c>
      <c r="CY145" s="49" t="s">
        <v>36</v>
      </c>
      <c r="CZ145" s="49">
        <v>0</v>
      </c>
      <c r="DA145" s="49">
        <v>1</v>
      </c>
      <c r="DB145" s="64">
        <v>31939</v>
      </c>
      <c r="DC145" s="58">
        <v>17.549999999999997</v>
      </c>
      <c r="DD145" s="58">
        <v>52.7</v>
      </c>
      <c r="DE145" s="58">
        <v>16.989999999999998</v>
      </c>
      <c r="DF145" s="58">
        <v>8.48</v>
      </c>
      <c r="DG145" s="58">
        <v>4.2894267196843989</v>
      </c>
      <c r="DH145" s="58">
        <v>82.45</v>
      </c>
      <c r="DI145" s="45" t="s">
        <v>35</v>
      </c>
      <c r="DJ145" s="59" t="str">
        <f t="shared" si="63"/>
        <v>African American</v>
      </c>
      <c r="DK145" s="65">
        <v>31939</v>
      </c>
      <c r="DL145" s="58">
        <v>17.549999999999997</v>
      </c>
      <c r="DM145" s="58">
        <v>52.7</v>
      </c>
      <c r="DN145" s="58">
        <v>16.989999999999998</v>
      </c>
      <c r="DO145" s="58">
        <v>82.45</v>
      </c>
      <c r="DP145" s="66">
        <v>53.55</v>
      </c>
      <c r="DQ145" s="72">
        <v>53290.71</v>
      </c>
      <c r="DR145" s="53">
        <v>20.3</v>
      </c>
      <c r="DS145" s="58">
        <v>72.3</v>
      </c>
      <c r="DT145" s="73">
        <v>41</v>
      </c>
      <c r="DU145" s="108">
        <v>2.5</v>
      </c>
      <c r="DV145" s="109">
        <v>36.200000000000003</v>
      </c>
      <c r="DW145" s="53">
        <v>79.7</v>
      </c>
      <c r="DX145" s="53">
        <v>100.33</v>
      </c>
      <c r="DY145" s="53">
        <v>55.325600000000001</v>
      </c>
      <c r="DZ145" s="63"/>
    </row>
    <row r="146" spans="1:130" s="5" customFormat="1" ht="14.25" hidden="1" customHeight="1">
      <c r="A146" s="45">
        <v>1090</v>
      </c>
      <c r="B146" s="46" t="s">
        <v>110</v>
      </c>
      <c r="C146" s="47">
        <v>2012</v>
      </c>
      <c r="D146" s="47" t="s">
        <v>124</v>
      </c>
      <c r="E146" s="46" t="s">
        <v>22</v>
      </c>
      <c r="F146" s="46">
        <v>4</v>
      </c>
      <c r="G146" s="48">
        <v>225114</v>
      </c>
      <c r="H146" s="46" t="s">
        <v>249</v>
      </c>
      <c r="I146" s="46">
        <v>1</v>
      </c>
      <c r="J146" s="46">
        <v>2</v>
      </c>
      <c r="K146" s="49" t="s">
        <v>125</v>
      </c>
      <c r="L146" s="49" t="s">
        <v>40</v>
      </c>
      <c r="M146" s="49" t="s">
        <v>35</v>
      </c>
      <c r="N146" s="49" t="s">
        <v>512</v>
      </c>
      <c r="O146" s="49"/>
      <c r="P146" s="49" t="s">
        <v>201</v>
      </c>
      <c r="Q146" s="49" t="s">
        <v>35</v>
      </c>
      <c r="R146" s="49">
        <v>2</v>
      </c>
      <c r="S146" s="50">
        <f t="shared" si="56"/>
        <v>100</v>
      </c>
      <c r="T146" s="49">
        <v>1</v>
      </c>
      <c r="U146" s="50">
        <f t="shared" si="57"/>
        <v>50</v>
      </c>
      <c r="V146" s="49" t="s">
        <v>858</v>
      </c>
      <c r="W146" s="49">
        <v>1</v>
      </c>
      <c r="X146" s="50">
        <f t="shared" si="58"/>
        <v>50</v>
      </c>
      <c r="Y146" s="51" t="str">
        <f t="shared" si="59"/>
        <v>Yes</v>
      </c>
      <c r="Z146" s="49" t="s">
        <v>35</v>
      </c>
      <c r="AA146" s="49" t="s">
        <v>23</v>
      </c>
      <c r="AB146" s="49" t="s">
        <v>23</v>
      </c>
      <c r="AC146" s="46" t="s">
        <v>72</v>
      </c>
      <c r="AD146" s="46" t="s">
        <v>27</v>
      </c>
      <c r="AE146" s="46" t="s">
        <v>89</v>
      </c>
      <c r="AF146" s="46" t="s">
        <v>29</v>
      </c>
      <c r="AG146" s="103">
        <v>156832</v>
      </c>
      <c r="AH146" s="52">
        <v>131372</v>
      </c>
      <c r="AI146" s="52">
        <v>131372</v>
      </c>
      <c r="AJ146" s="102">
        <v>68.98</v>
      </c>
      <c r="AK146" s="104">
        <v>136.84</v>
      </c>
      <c r="AL146" s="102">
        <v>68.98</v>
      </c>
      <c r="AM146" s="102">
        <v>68.98</v>
      </c>
      <c r="AN146" s="53">
        <f t="shared" si="60"/>
        <v>137.96</v>
      </c>
      <c r="AO146" s="53">
        <v>30.77</v>
      </c>
      <c r="AP146" s="102">
        <v>24980</v>
      </c>
      <c r="AQ146" s="102">
        <v>15.9</v>
      </c>
      <c r="AR146" s="102">
        <v>427</v>
      </c>
      <c r="AS146" s="102">
        <v>0.3</v>
      </c>
      <c r="AT146" s="102"/>
      <c r="AU146" s="102"/>
      <c r="AV146" s="102"/>
      <c r="AW146" s="102"/>
      <c r="AX146" s="102">
        <v>56696</v>
      </c>
      <c r="AY146" s="102">
        <v>43</v>
      </c>
      <c r="AZ146" s="102"/>
      <c r="BA146" s="102"/>
      <c r="BB146" s="102"/>
      <c r="BC146" s="102"/>
      <c r="BD146" s="102">
        <v>1060</v>
      </c>
      <c r="BE146" s="102">
        <v>0.8</v>
      </c>
      <c r="BF146" s="102">
        <v>57683</v>
      </c>
      <c r="BG146" s="102">
        <v>43.7</v>
      </c>
      <c r="BH146" s="102"/>
      <c r="BI146" s="102"/>
      <c r="BJ146" s="102"/>
      <c r="BK146" s="102"/>
      <c r="BL146" s="102"/>
      <c r="BM146" s="102"/>
      <c r="BN146" s="102"/>
      <c r="BO146" s="102"/>
      <c r="BP146" s="102"/>
      <c r="BQ146" s="102"/>
      <c r="BR146" s="102" t="s">
        <v>967</v>
      </c>
      <c r="BS146" s="54" t="s">
        <v>29</v>
      </c>
      <c r="BT146" s="45" t="str">
        <f t="shared" ref="BT146:BT151" si="69">IF(J146=I146, "No", IF(AJ146/AO146&lt;2, "Yes", "No"))</f>
        <v>No</v>
      </c>
      <c r="BU146" s="45" t="str">
        <f t="shared" ref="BU146:BU151" si="70">IF(J146=I146, "No", IF(AJ146/AO146&lt;1.5, "Yes", "No"))</f>
        <v>No</v>
      </c>
      <c r="BV146" s="45" t="str">
        <f t="shared" ref="BV146:BV151" si="71">IF(J146=I146, "No", IF((ABS(AJ146-AO146))&lt;(5/I146), "Yes", "No"))</f>
        <v>No</v>
      </c>
      <c r="BW146" s="55">
        <f>(146454/(146454+9745))*100</f>
        <v>93.761163643813333</v>
      </c>
      <c r="BX146" s="55">
        <f>(146454/(146454+9745))*100</f>
        <v>93.761163643813333</v>
      </c>
      <c r="BY146" s="55">
        <v>91.831163643813341</v>
      </c>
      <c r="BZ146" s="55">
        <f>BX146-(0.0386*100/2)</f>
        <v>91.831163643813326</v>
      </c>
      <c r="CA146" s="45">
        <v>2012</v>
      </c>
      <c r="CB146" s="55">
        <f t="shared" si="61"/>
        <v>50.004567600487213</v>
      </c>
      <c r="CC146" s="46" t="s">
        <v>490</v>
      </c>
      <c r="CD146" s="46" t="s">
        <v>71</v>
      </c>
      <c r="CE146" s="46" t="s">
        <v>783</v>
      </c>
      <c r="CF146" s="46">
        <v>1</v>
      </c>
      <c r="CG146" s="46" t="str">
        <f t="shared" si="62"/>
        <v>No</v>
      </c>
      <c r="CH146" s="46" t="s">
        <v>29</v>
      </c>
      <c r="CI146" s="56">
        <v>300</v>
      </c>
      <c r="CJ146" s="46">
        <v>50</v>
      </c>
      <c r="CK146" s="46" t="s">
        <v>23</v>
      </c>
      <c r="CL146" s="49" t="s">
        <v>29</v>
      </c>
      <c r="CM146" s="50">
        <v>0</v>
      </c>
      <c r="CN146" s="50"/>
      <c r="CO146" s="50"/>
      <c r="CP146" s="46" t="s">
        <v>23</v>
      </c>
      <c r="CQ146" s="46" t="s">
        <v>23</v>
      </c>
      <c r="CR146" s="46">
        <v>7</v>
      </c>
      <c r="CS146" s="46" t="s">
        <v>855</v>
      </c>
      <c r="CT146" s="46" t="s">
        <v>53</v>
      </c>
      <c r="CU146" s="46" t="s">
        <v>74</v>
      </c>
      <c r="CV146" s="46">
        <v>0</v>
      </c>
      <c r="CW146" s="46">
        <v>1</v>
      </c>
      <c r="CX146" s="49" t="s">
        <v>562</v>
      </c>
      <c r="CY146" s="49" t="s">
        <v>36</v>
      </c>
      <c r="CZ146" s="49">
        <v>1</v>
      </c>
      <c r="DA146" s="49">
        <v>1</v>
      </c>
      <c r="DB146" s="57">
        <v>262720</v>
      </c>
      <c r="DC146" s="58">
        <v>34.276035322777098</v>
      </c>
      <c r="DD146" s="58">
        <v>30.334576735688184</v>
      </c>
      <c r="DE146" s="58">
        <v>14.151948842874543</v>
      </c>
      <c r="DF146" s="58">
        <v>16.502359926918391</v>
      </c>
      <c r="DG146" s="58">
        <v>4.7350791717417851</v>
      </c>
      <c r="DH146" s="58">
        <v>65.723964677222895</v>
      </c>
      <c r="DI146" s="45" t="s">
        <v>35</v>
      </c>
      <c r="DJ146" s="59" t="str">
        <f t="shared" si="63"/>
        <v>No single majority group</v>
      </c>
      <c r="DK146" s="60">
        <v>262720</v>
      </c>
      <c r="DL146" s="58">
        <v>34.276035322777098</v>
      </c>
      <c r="DM146" s="58">
        <v>30.334576735688184</v>
      </c>
      <c r="DN146" s="58">
        <v>14.151948842874543</v>
      </c>
      <c r="DO146" s="58">
        <v>65.723964677222895</v>
      </c>
      <c r="DP146" s="66">
        <v>52.6</v>
      </c>
      <c r="DQ146" s="67">
        <v>52962</v>
      </c>
      <c r="DR146" s="53">
        <v>21</v>
      </c>
      <c r="DS146" s="58">
        <v>73</v>
      </c>
      <c r="DT146" s="53">
        <v>39.799999999999997</v>
      </c>
      <c r="DU146" s="55">
        <v>2.5299999999999998</v>
      </c>
      <c r="DV146" s="50">
        <v>36.200000000000003</v>
      </c>
      <c r="DW146" s="53">
        <v>80.599999999999994</v>
      </c>
      <c r="DX146" s="53">
        <v>99.54</v>
      </c>
      <c r="DY146" s="53">
        <v>55.120199999999997</v>
      </c>
      <c r="DZ146" s="63"/>
    </row>
    <row r="147" spans="1:130" s="5" customFormat="1" ht="14.25" hidden="1" customHeight="1">
      <c r="A147" s="45">
        <v>1091</v>
      </c>
      <c r="B147" s="46" t="s">
        <v>110</v>
      </c>
      <c r="C147" s="47">
        <v>2012</v>
      </c>
      <c r="D147" s="47" t="s">
        <v>126</v>
      </c>
      <c r="E147" s="46" t="s">
        <v>22</v>
      </c>
      <c r="F147" s="46">
        <v>4</v>
      </c>
      <c r="G147" s="48">
        <v>82204</v>
      </c>
      <c r="H147" s="46" t="s">
        <v>249</v>
      </c>
      <c r="I147" s="46">
        <v>1</v>
      </c>
      <c r="J147" s="46">
        <v>5</v>
      </c>
      <c r="K147" s="49" t="s">
        <v>127</v>
      </c>
      <c r="L147" s="49" t="s">
        <v>40</v>
      </c>
      <c r="M147" s="49" t="s">
        <v>35</v>
      </c>
      <c r="N147" s="49" t="s">
        <v>513</v>
      </c>
      <c r="O147" s="49"/>
      <c r="P147" s="49" t="s">
        <v>31</v>
      </c>
      <c r="Q147" s="49" t="s">
        <v>29</v>
      </c>
      <c r="R147" s="49">
        <v>3</v>
      </c>
      <c r="S147" s="50">
        <f t="shared" si="56"/>
        <v>60</v>
      </c>
      <c r="T147" s="49">
        <v>3</v>
      </c>
      <c r="U147" s="50">
        <f t="shared" si="57"/>
        <v>60</v>
      </c>
      <c r="V147" s="49" t="s">
        <v>862</v>
      </c>
      <c r="W147" s="49">
        <v>2</v>
      </c>
      <c r="X147" s="50">
        <f t="shared" si="58"/>
        <v>40</v>
      </c>
      <c r="Y147" s="51" t="str">
        <f t="shared" si="59"/>
        <v>No</v>
      </c>
      <c r="Z147" s="49" t="s">
        <v>29</v>
      </c>
      <c r="AA147" s="49" t="s">
        <v>29</v>
      </c>
      <c r="AB147" s="45" t="s">
        <v>35</v>
      </c>
      <c r="AC147" s="46" t="s">
        <v>114</v>
      </c>
      <c r="AD147" s="46" t="s">
        <v>27</v>
      </c>
      <c r="AE147" s="46" t="s">
        <v>89</v>
      </c>
      <c r="AF147" s="46" t="s">
        <v>29</v>
      </c>
      <c r="AG147" s="103">
        <v>156832</v>
      </c>
      <c r="AH147" s="52">
        <v>145070</v>
      </c>
      <c r="AI147" s="52">
        <v>145070</v>
      </c>
      <c r="AJ147" s="102">
        <v>45.04</v>
      </c>
      <c r="AK147" s="104">
        <v>90.08</v>
      </c>
      <c r="AL147" s="102">
        <v>60.7</v>
      </c>
      <c r="AM147" s="102">
        <v>60.7</v>
      </c>
      <c r="AN147" s="53">
        <f t="shared" si="60"/>
        <v>121.4</v>
      </c>
      <c r="AO147" s="53">
        <v>29.53</v>
      </c>
      <c r="AP147" s="102">
        <v>11389</v>
      </c>
      <c r="AQ147" s="102">
        <v>7.3</v>
      </c>
      <c r="AR147" s="102">
        <v>1583</v>
      </c>
      <c r="AS147" s="102">
        <v>1.1000000000000001</v>
      </c>
      <c r="AT147" s="102"/>
      <c r="AU147" s="102"/>
      <c r="AV147" s="102">
        <v>148</v>
      </c>
      <c r="AW147" s="102">
        <v>0.1</v>
      </c>
      <c r="AX147" s="102">
        <v>32430</v>
      </c>
      <c r="AY147" s="102">
        <v>22.3</v>
      </c>
      <c r="AZ147" s="102"/>
      <c r="BA147" s="102"/>
      <c r="BB147" s="102"/>
      <c r="BC147" s="102"/>
      <c r="BD147" s="102">
        <v>694</v>
      </c>
      <c r="BE147" s="102">
        <v>0.5</v>
      </c>
      <c r="BF147" s="102">
        <v>34347</v>
      </c>
      <c r="BG147" s="102">
        <v>23.6</v>
      </c>
      <c r="BH147" s="102">
        <v>14315</v>
      </c>
      <c r="BI147" s="102">
        <v>9.9</v>
      </c>
      <c r="BJ147" s="102">
        <v>4751</v>
      </c>
      <c r="BK147" s="102">
        <v>3.3</v>
      </c>
      <c r="BL147" s="102">
        <v>9564</v>
      </c>
      <c r="BM147" s="102">
        <v>6.6</v>
      </c>
      <c r="BN147" s="102"/>
      <c r="BO147" s="102"/>
      <c r="BP147" s="102"/>
      <c r="BQ147" s="102"/>
      <c r="BR147" s="102" t="s">
        <v>967</v>
      </c>
      <c r="BS147" s="54" t="s">
        <v>29</v>
      </c>
      <c r="BT147" s="45" t="str">
        <f t="shared" si="69"/>
        <v>Yes</v>
      </c>
      <c r="BU147" s="45" t="str">
        <f t="shared" si="70"/>
        <v>No</v>
      </c>
      <c r="BV147" s="45" t="str">
        <f t="shared" si="71"/>
        <v>No</v>
      </c>
      <c r="BW147" s="55">
        <f>(146454/(146454+9745))*100</f>
        <v>93.761163643813333</v>
      </c>
      <c r="BX147" s="55">
        <f>(146454/(146454+9745))*100</f>
        <v>93.761163643813333</v>
      </c>
      <c r="BY147" s="55">
        <v>91.831163643813341</v>
      </c>
      <c r="BZ147" s="55">
        <f>BX147-(0.0386*100/2)</f>
        <v>91.831163643813326</v>
      </c>
      <c r="CA147" s="45">
        <v>2012</v>
      </c>
      <c r="CB147" s="55">
        <f t="shared" si="61"/>
        <v>55.21848355663824</v>
      </c>
      <c r="CC147" s="46" t="s">
        <v>490</v>
      </c>
      <c r="CD147" s="46" t="s">
        <v>71</v>
      </c>
      <c r="CE147" s="46" t="s">
        <v>783</v>
      </c>
      <c r="CF147" s="46">
        <v>1</v>
      </c>
      <c r="CG147" s="46" t="str">
        <f t="shared" si="62"/>
        <v>No</v>
      </c>
      <c r="CH147" s="46" t="s">
        <v>29</v>
      </c>
      <c r="CI147" s="56">
        <v>300</v>
      </c>
      <c r="CJ147" s="46">
        <v>50</v>
      </c>
      <c r="CK147" s="46" t="s">
        <v>23</v>
      </c>
      <c r="CL147" s="49" t="s">
        <v>29</v>
      </c>
      <c r="CM147" s="50">
        <v>0</v>
      </c>
      <c r="CN147" s="50"/>
      <c r="CO147" s="50"/>
      <c r="CP147" s="46" t="s">
        <v>23</v>
      </c>
      <c r="CQ147" s="46" t="s">
        <v>24</v>
      </c>
      <c r="CR147" s="46">
        <v>7</v>
      </c>
      <c r="CS147" s="46" t="s">
        <v>855</v>
      </c>
      <c r="CT147" s="46" t="s">
        <v>53</v>
      </c>
      <c r="CU147" s="46" t="s">
        <v>74</v>
      </c>
      <c r="CV147" s="46">
        <v>0</v>
      </c>
      <c r="CW147" s="46">
        <v>1</v>
      </c>
      <c r="CX147" s="49" t="s">
        <v>562</v>
      </c>
      <c r="CY147" s="49" t="s">
        <v>36</v>
      </c>
      <c r="CZ147" s="49">
        <v>1</v>
      </c>
      <c r="DA147" s="49">
        <v>1</v>
      </c>
      <c r="DB147" s="57">
        <v>262720</v>
      </c>
      <c r="DC147" s="58">
        <v>34.276035322777098</v>
      </c>
      <c r="DD147" s="58">
        <v>30.334576735688184</v>
      </c>
      <c r="DE147" s="58">
        <v>14.151948842874543</v>
      </c>
      <c r="DF147" s="58">
        <v>16.502359926918391</v>
      </c>
      <c r="DG147" s="58">
        <v>4.7350791717417851</v>
      </c>
      <c r="DH147" s="58">
        <v>65.723964677222895</v>
      </c>
      <c r="DI147" s="45" t="s">
        <v>35</v>
      </c>
      <c r="DJ147" s="59" t="str">
        <f t="shared" si="63"/>
        <v>No single majority group</v>
      </c>
      <c r="DK147" s="60">
        <v>262720</v>
      </c>
      <c r="DL147" s="58">
        <v>34.276035322777098</v>
      </c>
      <c r="DM147" s="58">
        <v>30.334576735688184</v>
      </c>
      <c r="DN147" s="58">
        <v>14.151948842874543</v>
      </c>
      <c r="DO147" s="58">
        <v>65.723964677222895</v>
      </c>
      <c r="DP147" s="66">
        <v>52.6</v>
      </c>
      <c r="DQ147" s="67">
        <v>52962</v>
      </c>
      <c r="DR147" s="53">
        <v>21</v>
      </c>
      <c r="DS147" s="58">
        <v>73</v>
      </c>
      <c r="DT147" s="53">
        <v>39.799999999999997</v>
      </c>
      <c r="DU147" s="55">
        <v>2.5299999999999998</v>
      </c>
      <c r="DV147" s="50">
        <v>36.200000000000003</v>
      </c>
      <c r="DW147" s="53">
        <v>80.599999999999994</v>
      </c>
      <c r="DX147" s="53">
        <v>99.54</v>
      </c>
      <c r="DY147" s="53">
        <v>55.120199999999997</v>
      </c>
      <c r="DZ147" s="63"/>
    </row>
    <row r="148" spans="1:130" s="5" customFormat="1" ht="14.25" hidden="1" customHeight="1">
      <c r="A148" s="45">
        <v>1092</v>
      </c>
      <c r="B148" s="46" t="s">
        <v>110</v>
      </c>
      <c r="C148" s="47">
        <v>2012</v>
      </c>
      <c r="D148" s="47" t="s">
        <v>76</v>
      </c>
      <c r="E148" s="46" t="s">
        <v>77</v>
      </c>
      <c r="F148" s="46">
        <v>4</v>
      </c>
      <c r="G148" s="48">
        <v>82204</v>
      </c>
      <c r="H148" s="46" t="s">
        <v>249</v>
      </c>
      <c r="I148" s="46">
        <v>1</v>
      </c>
      <c r="J148" s="46">
        <v>7</v>
      </c>
      <c r="K148" s="49" t="s">
        <v>129</v>
      </c>
      <c r="L148" s="49" t="s">
        <v>30</v>
      </c>
      <c r="M148" s="49" t="s">
        <v>29</v>
      </c>
      <c r="N148" s="49" t="s">
        <v>512</v>
      </c>
      <c r="O148" s="49"/>
      <c r="P148" s="49" t="s">
        <v>31</v>
      </c>
      <c r="Q148" s="49" t="s">
        <v>29</v>
      </c>
      <c r="R148" s="49">
        <v>1</v>
      </c>
      <c r="S148" s="50">
        <f t="shared" si="56"/>
        <v>14.285714285714285</v>
      </c>
      <c r="T148" s="49">
        <v>1</v>
      </c>
      <c r="U148" s="50">
        <f t="shared" si="57"/>
        <v>14.285714285714285</v>
      </c>
      <c r="V148" s="49" t="s">
        <v>789</v>
      </c>
      <c r="W148" s="49">
        <v>0</v>
      </c>
      <c r="X148" s="50">
        <f t="shared" si="58"/>
        <v>0</v>
      </c>
      <c r="Y148" s="51" t="str">
        <f t="shared" si="59"/>
        <v>No</v>
      </c>
      <c r="Z148" s="49" t="s">
        <v>35</v>
      </c>
      <c r="AA148" s="49" t="s">
        <v>23</v>
      </c>
      <c r="AB148" s="49" t="s">
        <v>23</v>
      </c>
      <c r="AC148" s="46" t="s">
        <v>128</v>
      </c>
      <c r="AD148" s="46" t="s">
        <v>27</v>
      </c>
      <c r="AE148" s="46" t="s">
        <v>89</v>
      </c>
      <c r="AF148" s="46" t="s">
        <v>29</v>
      </c>
      <c r="AG148" s="103">
        <v>34180</v>
      </c>
      <c r="AH148" s="52">
        <v>28705</v>
      </c>
      <c r="AI148" s="52">
        <v>28705</v>
      </c>
      <c r="AJ148" s="102">
        <v>28.82</v>
      </c>
      <c r="AK148" s="104">
        <v>57.64</v>
      </c>
      <c r="AL148" s="102">
        <v>51.78</v>
      </c>
      <c r="AM148" s="102">
        <v>51.78</v>
      </c>
      <c r="AN148" s="53">
        <f t="shared" si="60"/>
        <v>103.56</v>
      </c>
      <c r="AO148" s="53">
        <v>25.31</v>
      </c>
      <c r="AP148" s="102">
        <v>5414</v>
      </c>
      <c r="AQ148" s="102">
        <v>15.8</v>
      </c>
      <c r="AR148" s="102">
        <v>214</v>
      </c>
      <c r="AS148" s="102">
        <v>0.7</v>
      </c>
      <c r="AT148" s="102"/>
      <c r="AU148" s="102"/>
      <c r="AV148" s="102">
        <v>42</v>
      </c>
      <c r="AW148" s="102">
        <v>0.1</v>
      </c>
      <c r="AX148" s="102">
        <v>3843</v>
      </c>
      <c r="AY148" s="102">
        <v>13.4</v>
      </c>
      <c r="AZ148" s="102"/>
      <c r="BA148" s="102"/>
      <c r="BB148" s="102"/>
      <c r="BC148" s="102"/>
      <c r="BD148" s="102">
        <v>97</v>
      </c>
      <c r="BE148" s="102">
        <v>0.3</v>
      </c>
      <c r="BF148" s="102">
        <v>4119</v>
      </c>
      <c r="BG148" s="102">
        <v>14.3</v>
      </c>
      <c r="BH148" s="102">
        <v>4876</v>
      </c>
      <c r="BI148" s="102">
        <v>17</v>
      </c>
      <c r="BJ148" s="102">
        <v>2037</v>
      </c>
      <c r="BK148" s="102">
        <v>7.1</v>
      </c>
      <c r="BL148" s="102">
        <v>2839</v>
      </c>
      <c r="BM148" s="102">
        <v>9.9</v>
      </c>
      <c r="BN148" s="102"/>
      <c r="BO148" s="102"/>
      <c r="BP148" s="102"/>
      <c r="BQ148" s="102"/>
      <c r="BR148" s="102" t="s">
        <v>967</v>
      </c>
      <c r="BS148" s="54" t="s">
        <v>29</v>
      </c>
      <c r="BT148" s="45" t="str">
        <f t="shared" si="69"/>
        <v>Yes</v>
      </c>
      <c r="BU148" s="45" t="str">
        <f t="shared" si="70"/>
        <v>Yes</v>
      </c>
      <c r="BV148" s="45" t="str">
        <f t="shared" si="71"/>
        <v>Yes</v>
      </c>
      <c r="BW148" s="55">
        <f t="shared" ref="BW148:BW163" si="72">(146454/(146454+9745))*100</f>
        <v>93.761163643813333</v>
      </c>
      <c r="BX148" s="55"/>
      <c r="BY148" s="55">
        <v>91.831163643813341</v>
      </c>
      <c r="BZ148" s="55"/>
      <c r="CA148" s="45">
        <v>2012</v>
      </c>
      <c r="CB148" s="55">
        <f t="shared" si="61"/>
        <v>59.216090768437333</v>
      </c>
      <c r="CC148" s="46" t="s">
        <v>490</v>
      </c>
      <c r="CD148" s="46" t="s">
        <v>71</v>
      </c>
      <c r="CE148" s="46" t="s">
        <v>783</v>
      </c>
      <c r="CF148" s="46">
        <v>1</v>
      </c>
      <c r="CG148" s="46" t="str">
        <f t="shared" si="62"/>
        <v>No</v>
      </c>
      <c r="CH148" s="46" t="s">
        <v>29</v>
      </c>
      <c r="CI148" s="56">
        <v>300</v>
      </c>
      <c r="CJ148" s="46">
        <v>50</v>
      </c>
      <c r="CK148" s="46" t="s">
        <v>23</v>
      </c>
      <c r="CL148" s="49" t="s">
        <v>35</v>
      </c>
      <c r="CM148" s="50">
        <f>(3/7)*100</f>
        <v>42.857142857142854</v>
      </c>
      <c r="CN148" s="50"/>
      <c r="CO148" s="50"/>
      <c r="CP148" s="46" t="s">
        <v>23</v>
      </c>
      <c r="CQ148" s="46" t="s">
        <v>24</v>
      </c>
      <c r="CR148" s="46">
        <v>7</v>
      </c>
      <c r="CS148" s="46" t="s">
        <v>855</v>
      </c>
      <c r="CT148" s="46" t="s">
        <v>856</v>
      </c>
      <c r="CU148" s="46" t="s">
        <v>74</v>
      </c>
      <c r="CV148" s="46">
        <v>0</v>
      </c>
      <c r="CW148" s="46">
        <v>1</v>
      </c>
      <c r="CX148" s="49" t="s">
        <v>562</v>
      </c>
      <c r="CY148" s="49" t="s">
        <v>36</v>
      </c>
      <c r="CZ148" s="49">
        <v>1</v>
      </c>
      <c r="DA148" s="49">
        <v>1</v>
      </c>
      <c r="DB148" s="64">
        <v>48475</v>
      </c>
      <c r="DC148" s="58">
        <v>54.6</v>
      </c>
      <c r="DD148" s="58">
        <v>21.6</v>
      </c>
      <c r="DE148" s="58">
        <v>10.199999999999999</v>
      </c>
      <c r="DF148" s="58">
        <v>9.33</v>
      </c>
      <c r="DG148" s="58">
        <v>4.2475502836513668</v>
      </c>
      <c r="DH148" s="58">
        <v>45.4</v>
      </c>
      <c r="DI148" s="45" t="s">
        <v>29</v>
      </c>
      <c r="DJ148" s="59" t="str">
        <f t="shared" si="63"/>
        <v>N/A</v>
      </c>
      <c r="DK148" s="65">
        <v>48475</v>
      </c>
      <c r="DL148" s="58">
        <v>54.6</v>
      </c>
      <c r="DM148" s="58">
        <v>21.6</v>
      </c>
      <c r="DN148" s="58">
        <v>10.199999999999999</v>
      </c>
      <c r="DO148" s="58">
        <v>45.4</v>
      </c>
      <c r="DP148" s="66">
        <v>52.6</v>
      </c>
      <c r="DQ148" s="67">
        <v>52962</v>
      </c>
      <c r="DR148" s="53">
        <v>21</v>
      </c>
      <c r="DS148" s="58">
        <v>73</v>
      </c>
      <c r="DT148" s="53">
        <v>39.799999999999997</v>
      </c>
      <c r="DU148" s="55">
        <v>2.5299999999999998</v>
      </c>
      <c r="DV148" s="50">
        <v>36.200000000000003</v>
      </c>
      <c r="DW148" s="53">
        <v>80.599999999999994</v>
      </c>
      <c r="DX148" s="53">
        <v>99.54</v>
      </c>
      <c r="DY148" s="53">
        <v>55.120199999999997</v>
      </c>
      <c r="DZ148" s="63"/>
    </row>
    <row r="149" spans="1:130" s="5" customFormat="1" ht="14.25" hidden="1" customHeight="1">
      <c r="A149" s="45">
        <v>1094</v>
      </c>
      <c r="B149" s="46" t="s">
        <v>110</v>
      </c>
      <c r="C149" s="47">
        <v>2012</v>
      </c>
      <c r="D149" s="47" t="s">
        <v>94</v>
      </c>
      <c r="E149" s="46" t="s">
        <v>95</v>
      </c>
      <c r="F149" s="46">
        <v>4</v>
      </c>
      <c r="G149" s="48">
        <v>82204</v>
      </c>
      <c r="H149" s="46" t="s">
        <v>249</v>
      </c>
      <c r="I149" s="46">
        <v>1</v>
      </c>
      <c r="J149" s="46">
        <v>6</v>
      </c>
      <c r="K149" s="49" t="s">
        <v>133</v>
      </c>
      <c r="L149" s="49" t="s">
        <v>40</v>
      </c>
      <c r="M149" s="49" t="s">
        <v>35</v>
      </c>
      <c r="N149" s="49" t="s">
        <v>512</v>
      </c>
      <c r="O149" s="49"/>
      <c r="P149" s="49" t="s">
        <v>201</v>
      </c>
      <c r="Q149" s="49" t="s">
        <v>35</v>
      </c>
      <c r="R149" s="49">
        <v>2</v>
      </c>
      <c r="S149" s="50">
        <f t="shared" si="56"/>
        <v>33.333333333333329</v>
      </c>
      <c r="T149" s="49">
        <v>4</v>
      </c>
      <c r="U149" s="50">
        <f t="shared" si="57"/>
        <v>66.666666666666657</v>
      </c>
      <c r="V149" s="49" t="s">
        <v>864</v>
      </c>
      <c r="W149" s="49">
        <v>2</v>
      </c>
      <c r="X149" s="50">
        <f t="shared" si="58"/>
        <v>33.333333333333329</v>
      </c>
      <c r="Y149" s="51" t="str">
        <f t="shared" si="59"/>
        <v>Yes</v>
      </c>
      <c r="Z149" s="49" t="s">
        <v>35</v>
      </c>
      <c r="AA149" s="49" t="s">
        <v>23</v>
      </c>
      <c r="AB149" s="49" t="s">
        <v>23</v>
      </c>
      <c r="AC149" s="46" t="s">
        <v>132</v>
      </c>
      <c r="AD149" s="46" t="s">
        <v>27</v>
      </c>
      <c r="AE149" s="46" t="s">
        <v>89</v>
      </c>
      <c r="AF149" s="46" t="s">
        <v>29</v>
      </c>
      <c r="AG149" s="103">
        <v>26761</v>
      </c>
      <c r="AH149" s="52">
        <v>22121</v>
      </c>
      <c r="AI149" s="52">
        <v>22121</v>
      </c>
      <c r="AJ149" s="102">
        <v>23.54</v>
      </c>
      <c r="AK149" s="104">
        <v>47.08</v>
      </c>
      <c r="AL149" s="102">
        <v>53.92</v>
      </c>
      <c r="AM149" s="102">
        <v>53.92</v>
      </c>
      <c r="AN149" s="53">
        <f t="shared" si="60"/>
        <v>107.84</v>
      </c>
      <c r="AO149" s="53">
        <v>25.99</v>
      </c>
      <c r="AP149" s="102">
        <v>4568</v>
      </c>
      <c r="AQ149" s="102">
        <v>17.100000000000001</v>
      </c>
      <c r="AR149" s="102">
        <v>203</v>
      </c>
      <c r="AS149" s="102">
        <v>0.9</v>
      </c>
      <c r="AT149" s="102"/>
      <c r="AU149" s="102"/>
      <c r="AV149" s="102">
        <v>48</v>
      </c>
      <c r="AW149" s="102">
        <v>0.2</v>
      </c>
      <c r="AX149" s="102">
        <v>3991</v>
      </c>
      <c r="AY149" s="102">
        <v>18</v>
      </c>
      <c r="AZ149" s="102"/>
      <c r="BA149" s="102"/>
      <c r="BB149" s="102"/>
      <c r="BC149" s="102"/>
      <c r="BD149" s="102">
        <v>107</v>
      </c>
      <c r="BE149" s="102">
        <v>0.5</v>
      </c>
      <c r="BF149" s="102">
        <v>4240</v>
      </c>
      <c r="BG149" s="102">
        <v>19.100000000000001</v>
      </c>
      <c r="BH149" s="102">
        <v>4620</v>
      </c>
      <c r="BI149" s="102">
        <v>20.9</v>
      </c>
      <c r="BJ149" s="102">
        <v>1531</v>
      </c>
      <c r="BK149" s="102">
        <v>6.9</v>
      </c>
      <c r="BL149" s="102">
        <v>3089</v>
      </c>
      <c r="BM149" s="102">
        <v>14</v>
      </c>
      <c r="BN149" s="102"/>
      <c r="BO149" s="102"/>
      <c r="BP149" s="102"/>
      <c r="BQ149" s="102"/>
      <c r="BR149" s="102" t="s">
        <v>967</v>
      </c>
      <c r="BS149" s="54" t="s">
        <v>35</v>
      </c>
      <c r="BT149" s="45" t="str">
        <f t="shared" si="69"/>
        <v>Yes</v>
      </c>
      <c r="BU149" s="45" t="str">
        <f t="shared" si="70"/>
        <v>Yes</v>
      </c>
      <c r="BV149" s="45" t="str">
        <f t="shared" si="71"/>
        <v>Yes</v>
      </c>
      <c r="BW149" s="55">
        <f t="shared" si="72"/>
        <v>93.761163643813333</v>
      </c>
      <c r="BX149" s="55"/>
      <c r="BY149" s="55">
        <v>91.831163643813341</v>
      </c>
      <c r="BZ149" s="55"/>
      <c r="CA149" s="45">
        <v>2012</v>
      </c>
      <c r="CB149" s="55">
        <f t="shared" si="61"/>
        <v>49.182915712475264</v>
      </c>
      <c r="CC149" s="46" t="s">
        <v>490</v>
      </c>
      <c r="CD149" s="46" t="s">
        <v>71</v>
      </c>
      <c r="CE149" s="46" t="s">
        <v>783</v>
      </c>
      <c r="CF149" s="46">
        <v>1</v>
      </c>
      <c r="CG149" s="46" t="str">
        <f t="shared" si="62"/>
        <v>No</v>
      </c>
      <c r="CH149" s="46" t="s">
        <v>29</v>
      </c>
      <c r="CI149" s="56">
        <v>300</v>
      </c>
      <c r="CJ149" s="46">
        <v>50</v>
      </c>
      <c r="CK149" s="46" t="s">
        <v>23</v>
      </c>
      <c r="CL149" s="49" t="s">
        <v>35</v>
      </c>
      <c r="CM149" s="50">
        <f>(1/6)*100</f>
        <v>16.666666666666664</v>
      </c>
      <c r="CN149" s="50"/>
      <c r="CO149" s="50"/>
      <c r="CP149" s="46" t="s">
        <v>23</v>
      </c>
      <c r="CQ149" s="46" t="s">
        <v>24</v>
      </c>
      <c r="CR149" s="46">
        <v>7</v>
      </c>
      <c r="CS149" s="46" t="s">
        <v>855</v>
      </c>
      <c r="CT149" s="46" t="s">
        <v>856</v>
      </c>
      <c r="CU149" s="46" t="s">
        <v>74</v>
      </c>
      <c r="CV149" s="46">
        <v>0</v>
      </c>
      <c r="CW149" s="46">
        <v>1</v>
      </c>
      <c r="CX149" s="49" t="s">
        <v>562</v>
      </c>
      <c r="CY149" s="49" t="s">
        <v>36</v>
      </c>
      <c r="CZ149" s="49">
        <v>1</v>
      </c>
      <c r="DA149" s="49">
        <v>1</v>
      </c>
      <c r="DB149" s="64">
        <v>44977</v>
      </c>
      <c r="DC149" s="58">
        <v>35.520000000000003</v>
      </c>
      <c r="DD149" s="58">
        <v>31.78</v>
      </c>
      <c r="DE149" s="58">
        <v>9.4499999999999993</v>
      </c>
      <c r="DF149" s="58">
        <v>17.72</v>
      </c>
      <c r="DG149" s="58">
        <v>5.4694621695533279</v>
      </c>
      <c r="DH149" s="58">
        <v>64.48</v>
      </c>
      <c r="DI149" s="45" t="s">
        <v>35</v>
      </c>
      <c r="DJ149" s="59" t="str">
        <f t="shared" si="63"/>
        <v>No single majority group</v>
      </c>
      <c r="DK149" s="65">
        <v>44977</v>
      </c>
      <c r="DL149" s="58">
        <v>35.520000000000003</v>
      </c>
      <c r="DM149" s="58">
        <v>31.78</v>
      </c>
      <c r="DN149" s="58">
        <v>9.4499999999999993</v>
      </c>
      <c r="DO149" s="58">
        <v>64.48</v>
      </c>
      <c r="DP149" s="66">
        <v>52.6</v>
      </c>
      <c r="DQ149" s="67">
        <v>52962</v>
      </c>
      <c r="DR149" s="53">
        <v>21</v>
      </c>
      <c r="DS149" s="58">
        <v>73</v>
      </c>
      <c r="DT149" s="53">
        <v>39.799999999999997</v>
      </c>
      <c r="DU149" s="55">
        <v>2.5299999999999998</v>
      </c>
      <c r="DV149" s="50">
        <v>36.200000000000003</v>
      </c>
      <c r="DW149" s="53">
        <v>80.599999999999994</v>
      </c>
      <c r="DX149" s="53">
        <v>99.54</v>
      </c>
      <c r="DY149" s="53">
        <v>55.120199999999997</v>
      </c>
      <c r="DZ149" s="63"/>
    </row>
    <row r="150" spans="1:130" s="5" customFormat="1" ht="14.25" hidden="1" customHeight="1">
      <c r="A150" s="45">
        <v>1096</v>
      </c>
      <c r="B150" s="46" t="s">
        <v>110</v>
      </c>
      <c r="C150" s="47">
        <v>2012</v>
      </c>
      <c r="D150" s="47" t="s">
        <v>97</v>
      </c>
      <c r="E150" s="46" t="s">
        <v>98</v>
      </c>
      <c r="F150" s="46">
        <v>4</v>
      </c>
      <c r="G150" s="48">
        <v>82204</v>
      </c>
      <c r="H150" s="46" t="s">
        <v>249</v>
      </c>
      <c r="I150" s="46">
        <v>1</v>
      </c>
      <c r="J150" s="46">
        <v>4</v>
      </c>
      <c r="K150" s="49" t="s">
        <v>137</v>
      </c>
      <c r="L150" s="49" t="s">
        <v>30</v>
      </c>
      <c r="M150" s="49" t="s">
        <v>29</v>
      </c>
      <c r="N150" s="49" t="s">
        <v>512</v>
      </c>
      <c r="O150" s="49"/>
      <c r="P150" s="49" t="s">
        <v>857</v>
      </c>
      <c r="Q150" s="49" t="s">
        <v>35</v>
      </c>
      <c r="R150" s="49">
        <v>2</v>
      </c>
      <c r="S150" s="50">
        <f t="shared" si="56"/>
        <v>50</v>
      </c>
      <c r="T150" s="49">
        <v>3</v>
      </c>
      <c r="U150" s="50">
        <f t="shared" si="57"/>
        <v>75</v>
      </c>
      <c r="V150" s="49" t="s">
        <v>791</v>
      </c>
      <c r="W150" s="49">
        <v>1</v>
      </c>
      <c r="X150" s="50">
        <f t="shared" si="58"/>
        <v>25</v>
      </c>
      <c r="Y150" s="51" t="str">
        <f t="shared" si="59"/>
        <v>No</v>
      </c>
      <c r="Z150" s="49" t="s">
        <v>35</v>
      </c>
      <c r="AA150" s="49" t="s">
        <v>23</v>
      </c>
      <c r="AB150" s="49" t="s">
        <v>23</v>
      </c>
      <c r="AC150" s="46" t="s">
        <v>87</v>
      </c>
      <c r="AD150" s="46" t="s">
        <v>27</v>
      </c>
      <c r="AE150" s="46" t="s">
        <v>89</v>
      </c>
      <c r="AF150" s="46" t="s">
        <v>29</v>
      </c>
      <c r="AG150" s="103">
        <v>13482</v>
      </c>
      <c r="AH150" s="52">
        <v>11327</v>
      </c>
      <c r="AI150" s="52">
        <v>11327</v>
      </c>
      <c r="AJ150" s="102">
        <v>41.02</v>
      </c>
      <c r="AK150" s="104">
        <v>82.04</v>
      </c>
      <c r="AL150" s="102">
        <v>54.65</v>
      </c>
      <c r="AM150" s="102">
        <v>54.65</v>
      </c>
      <c r="AN150" s="53">
        <f t="shared" si="60"/>
        <v>109.3</v>
      </c>
      <c r="AO150" s="53">
        <v>33.42</v>
      </c>
      <c r="AP150" s="102">
        <v>2124</v>
      </c>
      <c r="AQ150" s="102">
        <v>15.8</v>
      </c>
      <c r="AR150" s="102">
        <v>123</v>
      </c>
      <c r="AS150" s="102">
        <v>1.1000000000000001</v>
      </c>
      <c r="AT150" s="102"/>
      <c r="AU150" s="102"/>
      <c r="AV150" s="102">
        <v>17</v>
      </c>
      <c r="AW150" s="102">
        <v>0.2</v>
      </c>
      <c r="AX150" s="102">
        <v>2967</v>
      </c>
      <c r="AY150" s="102">
        <v>26.1</v>
      </c>
      <c r="AZ150" s="102"/>
      <c r="BA150" s="102"/>
      <c r="BB150" s="102"/>
      <c r="BC150" s="102"/>
      <c r="BD150" s="102">
        <v>54</v>
      </c>
      <c r="BE150" s="102">
        <v>0.5</v>
      </c>
      <c r="BF150" s="102">
        <v>3120</v>
      </c>
      <c r="BG150" s="102">
        <v>27.5</v>
      </c>
      <c r="BH150" s="102">
        <v>815</v>
      </c>
      <c r="BI150" s="102">
        <v>7.2</v>
      </c>
      <c r="BJ150" s="102">
        <v>10</v>
      </c>
      <c r="BK150" s="102">
        <v>0.1</v>
      </c>
      <c r="BL150" s="102">
        <v>805</v>
      </c>
      <c r="BM150" s="102">
        <v>7.1</v>
      </c>
      <c r="BN150" s="102"/>
      <c r="BO150" s="102"/>
      <c r="BP150" s="102"/>
      <c r="BQ150" s="102"/>
      <c r="BR150" s="102" t="s">
        <v>967</v>
      </c>
      <c r="BS150" s="54" t="s">
        <v>29</v>
      </c>
      <c r="BT150" s="45" t="str">
        <f t="shared" si="69"/>
        <v>Yes</v>
      </c>
      <c r="BU150" s="45" t="str">
        <f t="shared" si="70"/>
        <v>Yes</v>
      </c>
      <c r="BV150" s="45" t="str">
        <f t="shared" si="71"/>
        <v>No</v>
      </c>
      <c r="BW150" s="55">
        <f t="shared" si="72"/>
        <v>93.761163643813333</v>
      </c>
      <c r="BX150" s="55"/>
      <c r="BY150" s="55">
        <v>91.831163643813341</v>
      </c>
      <c r="BZ150" s="55"/>
      <c r="CA150" s="45">
        <v>2012</v>
      </c>
      <c r="CB150" s="55">
        <f t="shared" si="61"/>
        <v>36.976463291221883</v>
      </c>
      <c r="CC150" s="46" t="s">
        <v>490</v>
      </c>
      <c r="CD150" s="46" t="s">
        <v>71</v>
      </c>
      <c r="CE150" s="46" t="s">
        <v>783</v>
      </c>
      <c r="CF150" s="46">
        <v>1</v>
      </c>
      <c r="CG150" s="46" t="str">
        <f t="shared" si="62"/>
        <v>No</v>
      </c>
      <c r="CH150" s="46" t="s">
        <v>29</v>
      </c>
      <c r="CI150" s="56">
        <v>300</v>
      </c>
      <c r="CJ150" s="46">
        <v>50</v>
      </c>
      <c r="CK150" s="46" t="s">
        <v>23</v>
      </c>
      <c r="CL150" s="49" t="s">
        <v>35</v>
      </c>
      <c r="CM150" s="50">
        <f>(1/4)*100</f>
        <v>25</v>
      </c>
      <c r="CN150" s="50"/>
      <c r="CO150" s="50"/>
      <c r="CP150" s="46" t="s">
        <v>23</v>
      </c>
      <c r="CQ150" s="46" t="s">
        <v>24</v>
      </c>
      <c r="CR150" s="46">
        <v>7</v>
      </c>
      <c r="CS150" s="46" t="s">
        <v>855</v>
      </c>
      <c r="CT150" s="46" t="s">
        <v>856</v>
      </c>
      <c r="CU150" s="46" t="s">
        <v>74</v>
      </c>
      <c r="CV150" s="46">
        <v>0</v>
      </c>
      <c r="CW150" s="46">
        <v>1</v>
      </c>
      <c r="CX150" s="49" t="s">
        <v>562</v>
      </c>
      <c r="CY150" s="49" t="s">
        <v>36</v>
      </c>
      <c r="CZ150" s="49">
        <v>1</v>
      </c>
      <c r="DA150" s="49">
        <v>1</v>
      </c>
      <c r="DB150" s="64">
        <v>30633</v>
      </c>
      <c r="DC150" s="58">
        <v>22.31</v>
      </c>
      <c r="DD150" s="58">
        <v>24.18</v>
      </c>
      <c r="DE150" s="58">
        <v>25.4</v>
      </c>
      <c r="DF150" s="58">
        <v>24.23</v>
      </c>
      <c r="DG150" s="58">
        <v>3.9108151340058108</v>
      </c>
      <c r="DH150" s="58">
        <v>77.69</v>
      </c>
      <c r="DI150" s="45" t="s">
        <v>35</v>
      </c>
      <c r="DJ150" s="59" t="str">
        <f t="shared" si="63"/>
        <v>No single majority group</v>
      </c>
      <c r="DK150" s="65">
        <v>30633</v>
      </c>
      <c r="DL150" s="58">
        <v>22.31</v>
      </c>
      <c r="DM150" s="58">
        <v>24.18</v>
      </c>
      <c r="DN150" s="58">
        <v>25.4</v>
      </c>
      <c r="DO150" s="58">
        <v>77.69</v>
      </c>
      <c r="DP150" s="66">
        <v>52.6</v>
      </c>
      <c r="DQ150" s="67">
        <v>52962</v>
      </c>
      <c r="DR150" s="53">
        <v>21</v>
      </c>
      <c r="DS150" s="58">
        <v>73</v>
      </c>
      <c r="DT150" s="53">
        <v>39.799999999999997</v>
      </c>
      <c r="DU150" s="105">
        <v>2.5299999999999998</v>
      </c>
      <c r="DV150" s="102">
        <v>36.200000000000003</v>
      </c>
      <c r="DW150" s="53">
        <v>80.599999999999994</v>
      </c>
      <c r="DX150" s="53">
        <v>99.54</v>
      </c>
      <c r="DY150" s="53">
        <v>55.120199999999997</v>
      </c>
      <c r="DZ150" s="63"/>
    </row>
    <row r="151" spans="1:130" s="5" customFormat="1" ht="14.25" hidden="1" customHeight="1">
      <c r="A151" s="45">
        <v>1098</v>
      </c>
      <c r="B151" s="46" t="s">
        <v>110</v>
      </c>
      <c r="C151" s="47">
        <v>2012</v>
      </c>
      <c r="D151" s="47" t="s">
        <v>82</v>
      </c>
      <c r="E151" s="46" t="s">
        <v>83</v>
      </c>
      <c r="F151" s="46">
        <v>4</v>
      </c>
      <c r="G151" s="48">
        <v>82204</v>
      </c>
      <c r="H151" s="46" t="s">
        <v>249</v>
      </c>
      <c r="I151" s="46">
        <v>1</v>
      </c>
      <c r="J151" s="46">
        <v>3</v>
      </c>
      <c r="K151" s="49" t="s">
        <v>140</v>
      </c>
      <c r="L151" s="49" t="s">
        <v>30</v>
      </c>
      <c r="M151" s="49" t="s">
        <v>29</v>
      </c>
      <c r="N151" s="49" t="s">
        <v>513</v>
      </c>
      <c r="O151" s="49"/>
      <c r="P151" s="49" t="s">
        <v>201</v>
      </c>
      <c r="Q151" s="49" t="s">
        <v>35</v>
      </c>
      <c r="R151" s="49">
        <v>2</v>
      </c>
      <c r="S151" s="50">
        <f t="shared" si="56"/>
        <v>66.666666666666657</v>
      </c>
      <c r="T151" s="49">
        <v>3</v>
      </c>
      <c r="U151" s="50">
        <f t="shared" si="57"/>
        <v>100</v>
      </c>
      <c r="V151" s="49" t="s">
        <v>861</v>
      </c>
      <c r="W151" s="49">
        <v>1</v>
      </c>
      <c r="X151" s="50">
        <f t="shared" si="58"/>
        <v>33.333333333333329</v>
      </c>
      <c r="Y151" s="51" t="str">
        <f t="shared" si="59"/>
        <v>No</v>
      </c>
      <c r="Z151" s="49" t="s">
        <v>29</v>
      </c>
      <c r="AA151" s="49" t="s">
        <v>35</v>
      </c>
      <c r="AB151" s="49" t="s">
        <v>29</v>
      </c>
      <c r="AC151" s="46" t="s">
        <v>72</v>
      </c>
      <c r="AD151" s="46" t="s">
        <v>27</v>
      </c>
      <c r="AE151" s="46" t="s">
        <v>89</v>
      </c>
      <c r="AF151" s="46" t="s">
        <v>29</v>
      </c>
      <c r="AG151" s="103">
        <v>17014</v>
      </c>
      <c r="AH151" s="52">
        <v>15053</v>
      </c>
      <c r="AI151" s="52">
        <v>15053</v>
      </c>
      <c r="AJ151" s="102">
        <v>57.96</v>
      </c>
      <c r="AK151" s="104">
        <v>115.92</v>
      </c>
      <c r="AL151" s="102">
        <v>58.29</v>
      </c>
      <c r="AM151" s="101">
        <v>62.6</v>
      </c>
      <c r="AN151" s="53">
        <f t="shared" si="60"/>
        <v>116.58</v>
      </c>
      <c r="AO151" s="53">
        <v>31.45</v>
      </c>
      <c r="AP151" s="102">
        <v>1910</v>
      </c>
      <c r="AQ151" s="102">
        <v>11.2</v>
      </c>
      <c r="AR151" s="102">
        <v>91</v>
      </c>
      <c r="AS151" s="102">
        <v>0.6</v>
      </c>
      <c r="AT151" s="102"/>
      <c r="AU151" s="102"/>
      <c r="AV151" s="102">
        <v>91</v>
      </c>
      <c r="AW151" s="102">
        <v>0.6</v>
      </c>
      <c r="AX151" s="102">
        <v>5326</v>
      </c>
      <c r="AY151" s="102">
        <v>35.299999999999997</v>
      </c>
      <c r="AZ151" s="102"/>
      <c r="BA151" s="102"/>
      <c r="BB151" s="102"/>
      <c r="BC151" s="102"/>
      <c r="BD151" s="102">
        <v>114</v>
      </c>
      <c r="BE151" s="102">
        <v>0.8</v>
      </c>
      <c r="BF151" s="102">
        <v>5462</v>
      </c>
      <c r="BG151" s="102">
        <v>36.200000000000003</v>
      </c>
      <c r="BH151" s="102"/>
      <c r="BI151" s="102"/>
      <c r="BJ151" s="102"/>
      <c r="BK151" s="102"/>
      <c r="BL151" s="102"/>
      <c r="BM151" s="102"/>
      <c r="BN151" s="102"/>
      <c r="BO151" s="102"/>
      <c r="BP151" s="102"/>
      <c r="BQ151" s="102"/>
      <c r="BR151" s="102" t="s">
        <v>967</v>
      </c>
      <c r="BS151" s="54" t="s">
        <v>29</v>
      </c>
      <c r="BT151" s="45" t="str">
        <f t="shared" si="69"/>
        <v>Yes</v>
      </c>
      <c r="BU151" s="45" t="str">
        <f t="shared" si="70"/>
        <v>No</v>
      </c>
      <c r="BV151" s="45" t="str">
        <f t="shared" si="71"/>
        <v>No</v>
      </c>
      <c r="BW151" s="55">
        <f t="shared" si="72"/>
        <v>93.761163643813333</v>
      </c>
      <c r="BX151" s="55"/>
      <c r="BY151" s="55">
        <v>91.831163643813341</v>
      </c>
      <c r="BZ151" s="55"/>
      <c r="CA151" s="45">
        <v>2012</v>
      </c>
      <c r="CB151" s="55">
        <f t="shared" si="61"/>
        <v>48.370822622107966</v>
      </c>
      <c r="CC151" s="46" t="s">
        <v>490</v>
      </c>
      <c r="CD151" s="46" t="s">
        <v>71</v>
      </c>
      <c r="CE151" s="46" t="s">
        <v>783</v>
      </c>
      <c r="CF151" s="46">
        <v>1</v>
      </c>
      <c r="CG151" s="46" t="str">
        <f t="shared" si="62"/>
        <v>No</v>
      </c>
      <c r="CH151" s="46" t="s">
        <v>29</v>
      </c>
      <c r="CI151" s="56">
        <v>300</v>
      </c>
      <c r="CJ151" s="46">
        <v>50</v>
      </c>
      <c r="CK151" s="46" t="s">
        <v>23</v>
      </c>
      <c r="CL151" s="49" t="s">
        <v>35</v>
      </c>
      <c r="CM151" s="102">
        <f>(1/3)*100</f>
        <v>33.333333333333329</v>
      </c>
      <c r="CN151" s="102"/>
      <c r="CO151" s="102"/>
      <c r="CP151" s="46" t="s">
        <v>23</v>
      </c>
      <c r="CQ151" s="46" t="s">
        <v>24</v>
      </c>
      <c r="CR151" s="46">
        <v>7</v>
      </c>
      <c r="CS151" s="46" t="s">
        <v>855</v>
      </c>
      <c r="CT151" s="46" t="s">
        <v>856</v>
      </c>
      <c r="CU151" s="46" t="s">
        <v>74</v>
      </c>
      <c r="CV151" s="46">
        <v>0</v>
      </c>
      <c r="CW151" s="46">
        <v>1</v>
      </c>
      <c r="CX151" s="49" t="s">
        <v>562</v>
      </c>
      <c r="CY151" s="49" t="s">
        <v>36</v>
      </c>
      <c r="CZ151" s="49">
        <v>1</v>
      </c>
      <c r="DA151" s="49">
        <v>1</v>
      </c>
      <c r="DB151" s="64">
        <v>31120</v>
      </c>
      <c r="DC151" s="58">
        <v>12.01</v>
      </c>
      <c r="DD151" s="58">
        <v>54.33</v>
      </c>
      <c r="DE151" s="58">
        <v>22.1</v>
      </c>
      <c r="DF151" s="58">
        <v>6.12</v>
      </c>
      <c r="DG151" s="58">
        <v>5.5109254498714657</v>
      </c>
      <c r="DH151" s="58">
        <v>87.99</v>
      </c>
      <c r="DI151" s="45" t="s">
        <v>35</v>
      </c>
      <c r="DJ151" s="59" t="str">
        <f t="shared" si="63"/>
        <v>African American</v>
      </c>
      <c r="DK151" s="65">
        <v>31120</v>
      </c>
      <c r="DL151" s="58">
        <v>12.01</v>
      </c>
      <c r="DM151" s="58">
        <v>54.33</v>
      </c>
      <c r="DN151" s="58">
        <v>22.1</v>
      </c>
      <c r="DO151" s="58">
        <v>87.99</v>
      </c>
      <c r="DP151" s="66">
        <v>52.6</v>
      </c>
      <c r="DQ151" s="67">
        <v>52962</v>
      </c>
      <c r="DR151" s="53">
        <v>21</v>
      </c>
      <c r="DS151" s="58">
        <v>73</v>
      </c>
      <c r="DT151" s="53">
        <v>39.799999999999997</v>
      </c>
      <c r="DU151" s="105">
        <v>2.5299999999999998</v>
      </c>
      <c r="DV151" s="102">
        <v>36.200000000000003</v>
      </c>
      <c r="DW151" s="53">
        <v>80.599999999999994</v>
      </c>
      <c r="DX151" s="53">
        <v>99.54</v>
      </c>
      <c r="DY151" s="53">
        <v>55.120199999999997</v>
      </c>
      <c r="DZ151" s="63"/>
    </row>
    <row r="152" spans="1:130" s="5" customFormat="1" ht="14.25" hidden="1" customHeight="1">
      <c r="A152" s="45">
        <v>1093</v>
      </c>
      <c r="B152" s="46" t="s">
        <v>110</v>
      </c>
      <c r="C152" s="47">
        <v>2012</v>
      </c>
      <c r="D152" s="47" t="s">
        <v>130</v>
      </c>
      <c r="E152" s="46" t="s">
        <v>77</v>
      </c>
      <c r="F152" s="46">
        <v>4</v>
      </c>
      <c r="G152" s="48">
        <v>10000</v>
      </c>
      <c r="H152" s="46" t="s">
        <v>332</v>
      </c>
      <c r="I152" s="46">
        <v>1</v>
      </c>
      <c r="J152" s="46">
        <v>2</v>
      </c>
      <c r="K152" s="49" t="s">
        <v>131</v>
      </c>
      <c r="L152" s="49" t="s">
        <v>40</v>
      </c>
      <c r="M152" s="49" t="s">
        <v>35</v>
      </c>
      <c r="N152" s="49" t="s">
        <v>513</v>
      </c>
      <c r="O152" s="49"/>
      <c r="P152" s="49" t="s">
        <v>31</v>
      </c>
      <c r="Q152" s="49" t="s">
        <v>29</v>
      </c>
      <c r="R152" s="49">
        <v>2</v>
      </c>
      <c r="S152" s="50">
        <f t="shared" si="56"/>
        <v>100</v>
      </c>
      <c r="T152" s="49">
        <v>1</v>
      </c>
      <c r="U152" s="50">
        <f t="shared" si="57"/>
        <v>50</v>
      </c>
      <c r="V152" s="49" t="s">
        <v>858</v>
      </c>
      <c r="W152" s="49">
        <v>1</v>
      </c>
      <c r="X152" s="50">
        <f t="shared" si="58"/>
        <v>50</v>
      </c>
      <c r="Y152" s="51" t="str">
        <f t="shared" si="59"/>
        <v>No</v>
      </c>
      <c r="Z152" s="49" t="s">
        <v>29</v>
      </c>
      <c r="AA152" s="49" t="s">
        <v>29</v>
      </c>
      <c r="AB152" s="45" t="s">
        <v>35</v>
      </c>
      <c r="AC152" s="46" t="s">
        <v>72</v>
      </c>
      <c r="AD152" s="46" t="s">
        <v>27</v>
      </c>
      <c r="AE152" s="46" t="s">
        <v>89</v>
      </c>
      <c r="AF152" s="46" t="s">
        <v>29</v>
      </c>
      <c r="AG152" s="103">
        <v>34180</v>
      </c>
      <c r="AH152" s="52">
        <v>26238</v>
      </c>
      <c r="AI152" s="52">
        <v>26238</v>
      </c>
      <c r="AJ152" s="102">
        <v>75.45</v>
      </c>
      <c r="AK152" s="104">
        <v>150.9</v>
      </c>
      <c r="AL152" s="102">
        <v>75.45</v>
      </c>
      <c r="AM152" s="102">
        <v>75.89</v>
      </c>
      <c r="AN152" s="53">
        <f t="shared" si="60"/>
        <v>150.9</v>
      </c>
      <c r="AO152" s="53"/>
      <c r="AP152" s="102">
        <v>7837</v>
      </c>
      <c r="AQ152" s="102">
        <v>22.9</v>
      </c>
      <c r="AR152" s="50">
        <v>50</v>
      </c>
      <c r="AS152" s="50">
        <v>0.2</v>
      </c>
      <c r="AT152" s="102"/>
      <c r="AU152" s="102"/>
      <c r="AV152" s="50"/>
      <c r="AW152" s="50"/>
      <c r="AX152" s="50">
        <v>8342</v>
      </c>
      <c r="AY152" s="50">
        <v>31.7</v>
      </c>
      <c r="AZ152" s="102"/>
      <c r="BA152" s="102"/>
      <c r="BB152" s="102"/>
      <c r="BC152" s="102"/>
      <c r="BD152" s="50">
        <v>195</v>
      </c>
      <c r="BE152" s="50">
        <v>0.7</v>
      </c>
      <c r="BF152" s="50">
        <v>8509</v>
      </c>
      <c r="BG152" s="50">
        <v>32.299999999999997</v>
      </c>
      <c r="BH152" s="102"/>
      <c r="BI152" s="102"/>
      <c r="BJ152" s="50"/>
      <c r="BK152" s="50"/>
      <c r="BL152" s="50"/>
      <c r="BM152" s="50"/>
      <c r="BN152" s="102"/>
      <c r="BO152" s="50"/>
      <c r="BP152" s="50"/>
      <c r="BQ152" s="50"/>
      <c r="BR152" s="102" t="s">
        <v>967</v>
      </c>
      <c r="BS152" s="54"/>
      <c r="BT152" s="45"/>
      <c r="BU152" s="45"/>
      <c r="BV152" s="45"/>
      <c r="BW152" s="55">
        <f t="shared" si="72"/>
        <v>93.761163643813333</v>
      </c>
      <c r="BX152" s="55"/>
      <c r="BY152" s="55">
        <v>91.831163643813341</v>
      </c>
      <c r="BZ152" s="55"/>
      <c r="CA152" s="45">
        <v>2012</v>
      </c>
      <c r="CB152" s="55">
        <f t="shared" si="61"/>
        <v>54.126869520371322</v>
      </c>
      <c r="CC152" s="46" t="s">
        <v>490</v>
      </c>
      <c r="CD152" s="46" t="s">
        <v>71</v>
      </c>
      <c r="CE152" s="46" t="s">
        <v>783</v>
      </c>
      <c r="CF152" s="46">
        <v>1</v>
      </c>
      <c r="CG152" s="46" t="str">
        <f t="shared" si="62"/>
        <v>No</v>
      </c>
      <c r="CH152" s="46" t="s">
        <v>29</v>
      </c>
      <c r="CI152" s="56">
        <v>300</v>
      </c>
      <c r="CJ152" s="46">
        <v>50</v>
      </c>
      <c r="CK152" s="46" t="s">
        <v>23</v>
      </c>
      <c r="CL152" s="49" t="s">
        <v>29</v>
      </c>
      <c r="CM152" s="50">
        <v>0</v>
      </c>
      <c r="CN152" s="50"/>
      <c r="CO152" s="50"/>
      <c r="CP152" s="46" t="s">
        <v>23</v>
      </c>
      <c r="CQ152" s="46" t="s">
        <v>24</v>
      </c>
      <c r="CR152" s="46">
        <v>7</v>
      </c>
      <c r="CS152" s="46" t="s">
        <v>855</v>
      </c>
      <c r="CT152" s="46" t="s">
        <v>856</v>
      </c>
      <c r="CU152" s="46" t="s">
        <v>74</v>
      </c>
      <c r="CV152" s="46">
        <v>0</v>
      </c>
      <c r="CW152" s="46">
        <v>1</v>
      </c>
      <c r="CX152" s="49" t="s">
        <v>562</v>
      </c>
      <c r="CY152" s="49" t="s">
        <v>36</v>
      </c>
      <c r="CZ152" s="49">
        <v>1</v>
      </c>
      <c r="DA152" s="49">
        <v>1</v>
      </c>
      <c r="DB152" s="64">
        <v>48475</v>
      </c>
      <c r="DC152" s="58">
        <v>54.6</v>
      </c>
      <c r="DD152" s="58">
        <v>21.6</v>
      </c>
      <c r="DE152" s="58">
        <v>10.199999999999999</v>
      </c>
      <c r="DF152" s="58">
        <v>9.33</v>
      </c>
      <c r="DG152" s="58">
        <v>4.2475502836513668</v>
      </c>
      <c r="DH152" s="58">
        <v>45.4</v>
      </c>
      <c r="DI152" s="45" t="s">
        <v>29</v>
      </c>
      <c r="DJ152" s="59" t="str">
        <f t="shared" si="63"/>
        <v>N/A</v>
      </c>
      <c r="DK152" s="65">
        <v>48475</v>
      </c>
      <c r="DL152" s="58">
        <v>54.6</v>
      </c>
      <c r="DM152" s="58">
        <v>21.6</v>
      </c>
      <c r="DN152" s="58">
        <v>10.199999999999999</v>
      </c>
      <c r="DO152" s="58">
        <v>45.4</v>
      </c>
      <c r="DP152" s="66">
        <v>52.6</v>
      </c>
      <c r="DQ152" s="67">
        <v>52962</v>
      </c>
      <c r="DR152" s="53">
        <v>21</v>
      </c>
      <c r="DS152" s="58">
        <v>73</v>
      </c>
      <c r="DT152" s="53">
        <v>39.799999999999997</v>
      </c>
      <c r="DU152" s="55">
        <v>2.5299999999999998</v>
      </c>
      <c r="DV152" s="50">
        <v>36.200000000000003</v>
      </c>
      <c r="DW152" s="53">
        <v>80.599999999999994</v>
      </c>
      <c r="DX152" s="53">
        <v>99.54</v>
      </c>
      <c r="DY152" s="53">
        <v>55.120199999999997</v>
      </c>
      <c r="DZ152" s="63"/>
    </row>
    <row r="153" spans="1:130" s="5" customFormat="1" ht="14.25" hidden="1" customHeight="1">
      <c r="A153" s="45">
        <v>1095</v>
      </c>
      <c r="B153" s="46" t="s">
        <v>110</v>
      </c>
      <c r="C153" s="47">
        <v>2012</v>
      </c>
      <c r="D153" s="47" t="s">
        <v>134</v>
      </c>
      <c r="E153" s="46" t="s">
        <v>95</v>
      </c>
      <c r="F153" s="46">
        <v>4</v>
      </c>
      <c r="G153" s="48">
        <v>10000</v>
      </c>
      <c r="H153" s="46" t="s">
        <v>332</v>
      </c>
      <c r="I153" s="46">
        <v>1</v>
      </c>
      <c r="J153" s="46">
        <v>3</v>
      </c>
      <c r="K153" s="49" t="s">
        <v>136</v>
      </c>
      <c r="L153" s="49" t="s">
        <v>40</v>
      </c>
      <c r="M153" s="49" t="s">
        <v>35</v>
      </c>
      <c r="N153" s="49" t="s">
        <v>513</v>
      </c>
      <c r="O153" s="49"/>
      <c r="P153" s="49" t="s">
        <v>201</v>
      </c>
      <c r="Q153" s="49" t="s">
        <v>35</v>
      </c>
      <c r="R153" s="49">
        <v>1</v>
      </c>
      <c r="S153" s="50">
        <f t="shared" si="56"/>
        <v>33.333333333333329</v>
      </c>
      <c r="T153" s="49">
        <v>2</v>
      </c>
      <c r="U153" s="50">
        <f t="shared" si="57"/>
        <v>66.666666666666657</v>
      </c>
      <c r="V153" s="49" t="s">
        <v>869</v>
      </c>
      <c r="W153" s="49">
        <v>1</v>
      </c>
      <c r="X153" s="50">
        <f t="shared" si="58"/>
        <v>33.333333333333329</v>
      </c>
      <c r="Y153" s="51" t="str">
        <f t="shared" si="59"/>
        <v>Yes</v>
      </c>
      <c r="Z153" s="49" t="s">
        <v>29</v>
      </c>
      <c r="AA153" s="49" t="s">
        <v>35</v>
      </c>
      <c r="AB153" s="45" t="s">
        <v>35</v>
      </c>
      <c r="AC153" s="46" t="s">
        <v>135</v>
      </c>
      <c r="AD153" s="46" t="s">
        <v>27</v>
      </c>
      <c r="AE153" s="46" t="s">
        <v>89</v>
      </c>
      <c r="AF153" s="46" t="s">
        <v>29</v>
      </c>
      <c r="AG153" s="103">
        <v>26761</v>
      </c>
      <c r="AH153" s="52">
        <v>20672</v>
      </c>
      <c r="AI153" s="52">
        <v>20672</v>
      </c>
      <c r="AJ153" s="102">
        <v>47.2</v>
      </c>
      <c r="AK153" s="104">
        <v>94.4</v>
      </c>
      <c r="AL153" s="102">
        <v>61.03</v>
      </c>
      <c r="AM153" s="102">
        <v>61.03</v>
      </c>
      <c r="AN153" s="53">
        <f t="shared" si="60"/>
        <v>122.06</v>
      </c>
      <c r="AO153" s="53">
        <v>27</v>
      </c>
      <c r="AP153" s="102">
        <v>6008</v>
      </c>
      <c r="AQ153" s="102">
        <v>22.5</v>
      </c>
      <c r="AR153" s="50">
        <v>90</v>
      </c>
      <c r="AS153" s="50">
        <v>0.4</v>
      </c>
      <c r="AT153" s="102"/>
      <c r="AU153" s="102"/>
      <c r="AV153" s="50">
        <v>48</v>
      </c>
      <c r="AW153" s="50">
        <v>0.2</v>
      </c>
      <c r="AX153" s="50">
        <v>5238</v>
      </c>
      <c r="AY153" s="50">
        <v>25.2</v>
      </c>
      <c r="AZ153" s="102"/>
      <c r="BA153" s="102"/>
      <c r="BB153" s="102"/>
      <c r="BC153" s="102"/>
      <c r="BD153" s="50">
        <v>140</v>
      </c>
      <c r="BE153" s="50">
        <v>0.7</v>
      </c>
      <c r="BF153" s="50">
        <v>5402</v>
      </c>
      <c r="BG153" s="50">
        <v>26</v>
      </c>
      <c r="BH153" s="102">
        <v>4668</v>
      </c>
      <c r="BI153" s="102">
        <v>21.1</v>
      </c>
      <c r="BJ153" s="50">
        <v>1531</v>
      </c>
      <c r="BK153" s="50">
        <v>6.9</v>
      </c>
      <c r="BL153" s="50">
        <v>3089</v>
      </c>
      <c r="BM153" s="50">
        <v>14</v>
      </c>
      <c r="BN153" s="102"/>
      <c r="BO153" s="50"/>
      <c r="BP153" s="50"/>
      <c r="BQ153" s="50"/>
      <c r="BR153" s="102" t="s">
        <v>967</v>
      </c>
      <c r="BS153" s="54" t="s">
        <v>29</v>
      </c>
      <c r="BT153" s="45" t="str">
        <f>IF(J153=I153, "No", IF(AJ153/AO153&lt;2, "Yes", "No"))</f>
        <v>Yes</v>
      </c>
      <c r="BU153" s="45" t="str">
        <f>IF(J153=I153, "No", IF(AJ153/AO153&lt;1.5, "Yes", "No"))</f>
        <v>No</v>
      </c>
      <c r="BV153" s="45" t="str">
        <f>IF(J153=I153, "No", IF((ABS(AJ153-AO153))&lt;(5/I153), "Yes", "No"))</f>
        <v>No</v>
      </c>
      <c r="BW153" s="55">
        <f t="shared" si="72"/>
        <v>93.761163643813333</v>
      </c>
      <c r="BX153" s="55"/>
      <c r="BY153" s="55">
        <v>91.831163643813341</v>
      </c>
      <c r="BZ153" s="55"/>
      <c r="CA153" s="45">
        <v>2012</v>
      </c>
      <c r="CB153" s="55">
        <f t="shared" si="61"/>
        <v>45.961269093092028</v>
      </c>
      <c r="CC153" s="46" t="s">
        <v>490</v>
      </c>
      <c r="CD153" s="46" t="s">
        <v>71</v>
      </c>
      <c r="CE153" s="46" t="s">
        <v>783</v>
      </c>
      <c r="CF153" s="46">
        <v>1</v>
      </c>
      <c r="CG153" s="46" t="str">
        <f t="shared" si="62"/>
        <v>No</v>
      </c>
      <c r="CH153" s="46" t="s">
        <v>29</v>
      </c>
      <c r="CI153" s="56">
        <v>300</v>
      </c>
      <c r="CJ153" s="46">
        <v>50</v>
      </c>
      <c r="CK153" s="46" t="s">
        <v>23</v>
      </c>
      <c r="CL153" s="49" t="s">
        <v>29</v>
      </c>
      <c r="CM153" s="50">
        <v>0</v>
      </c>
      <c r="CN153" s="50"/>
      <c r="CO153" s="50"/>
      <c r="CP153" s="46" t="s">
        <v>23</v>
      </c>
      <c r="CQ153" s="46" t="s">
        <v>24</v>
      </c>
      <c r="CR153" s="46">
        <v>7</v>
      </c>
      <c r="CS153" s="46" t="s">
        <v>855</v>
      </c>
      <c r="CT153" s="46" t="s">
        <v>856</v>
      </c>
      <c r="CU153" s="46" t="s">
        <v>74</v>
      </c>
      <c r="CV153" s="46">
        <v>0</v>
      </c>
      <c r="CW153" s="46">
        <v>1</v>
      </c>
      <c r="CX153" s="49" t="s">
        <v>562</v>
      </c>
      <c r="CY153" s="49" t="s">
        <v>36</v>
      </c>
      <c r="CZ153" s="49">
        <v>1</v>
      </c>
      <c r="DA153" s="49">
        <v>1</v>
      </c>
      <c r="DB153" s="64">
        <v>44977</v>
      </c>
      <c r="DC153" s="58">
        <v>35.520000000000003</v>
      </c>
      <c r="DD153" s="58">
        <v>31.78</v>
      </c>
      <c r="DE153" s="58">
        <v>9.4499999999999993</v>
      </c>
      <c r="DF153" s="58">
        <v>17.72</v>
      </c>
      <c r="DG153" s="58">
        <v>5.4694621695533279</v>
      </c>
      <c r="DH153" s="58">
        <v>64.48</v>
      </c>
      <c r="DI153" s="45" t="s">
        <v>35</v>
      </c>
      <c r="DJ153" s="59" t="str">
        <f t="shared" si="63"/>
        <v>No single majority group</v>
      </c>
      <c r="DK153" s="65">
        <v>44977</v>
      </c>
      <c r="DL153" s="58">
        <v>35.520000000000003</v>
      </c>
      <c r="DM153" s="58">
        <v>31.78</v>
      </c>
      <c r="DN153" s="58">
        <v>9.4499999999999993</v>
      </c>
      <c r="DO153" s="58">
        <v>64.48</v>
      </c>
      <c r="DP153" s="66">
        <v>52.6</v>
      </c>
      <c r="DQ153" s="67">
        <v>52962</v>
      </c>
      <c r="DR153" s="53">
        <v>21</v>
      </c>
      <c r="DS153" s="58">
        <v>73</v>
      </c>
      <c r="DT153" s="53">
        <v>39.799999999999997</v>
      </c>
      <c r="DU153" s="55">
        <v>2.5299999999999998</v>
      </c>
      <c r="DV153" s="50">
        <v>36.200000000000003</v>
      </c>
      <c r="DW153" s="53">
        <v>80.599999999999994</v>
      </c>
      <c r="DX153" s="53">
        <v>99.54</v>
      </c>
      <c r="DY153" s="53">
        <v>55.120199999999997</v>
      </c>
      <c r="DZ153" s="63"/>
    </row>
    <row r="154" spans="1:130" s="5" customFormat="1" ht="14.25" hidden="1" customHeight="1">
      <c r="A154" s="45">
        <v>1097</v>
      </c>
      <c r="B154" s="46" t="s">
        <v>110</v>
      </c>
      <c r="C154" s="47">
        <v>2012</v>
      </c>
      <c r="D154" s="47" t="s">
        <v>138</v>
      </c>
      <c r="E154" s="46" t="s">
        <v>98</v>
      </c>
      <c r="F154" s="46">
        <v>4</v>
      </c>
      <c r="G154" s="48">
        <v>10000</v>
      </c>
      <c r="H154" s="46" t="s">
        <v>332</v>
      </c>
      <c r="I154" s="46">
        <v>1</v>
      </c>
      <c r="J154" s="46">
        <v>2</v>
      </c>
      <c r="K154" s="49" t="s">
        <v>139</v>
      </c>
      <c r="L154" s="49" t="s">
        <v>40</v>
      </c>
      <c r="M154" s="49" t="s">
        <v>35</v>
      </c>
      <c r="N154" s="49"/>
      <c r="O154" s="49"/>
      <c r="P154" s="49" t="s">
        <v>857</v>
      </c>
      <c r="Q154" s="49" t="s">
        <v>35</v>
      </c>
      <c r="R154" s="49">
        <v>1</v>
      </c>
      <c r="S154" s="50">
        <f t="shared" si="56"/>
        <v>50</v>
      </c>
      <c r="T154" s="49">
        <v>2</v>
      </c>
      <c r="U154" s="50">
        <f t="shared" si="57"/>
        <v>100</v>
      </c>
      <c r="V154" s="49" t="s">
        <v>869</v>
      </c>
      <c r="W154" s="49">
        <v>1</v>
      </c>
      <c r="X154" s="50">
        <f t="shared" si="58"/>
        <v>50</v>
      </c>
      <c r="Y154" s="51" t="str">
        <f t="shared" si="59"/>
        <v>Yes</v>
      </c>
      <c r="Z154" s="45"/>
      <c r="AA154" s="45"/>
      <c r="AB154" s="45"/>
      <c r="AC154" s="46" t="s">
        <v>72</v>
      </c>
      <c r="AD154" s="46" t="s">
        <v>27</v>
      </c>
      <c r="AE154" s="46" t="s">
        <v>89</v>
      </c>
      <c r="AF154" s="46" t="s">
        <v>29</v>
      </c>
      <c r="AG154" s="103">
        <v>13482</v>
      </c>
      <c r="AH154" s="52">
        <v>11009</v>
      </c>
      <c r="AI154" s="52">
        <v>11009</v>
      </c>
      <c r="AJ154" s="102">
        <v>54.38</v>
      </c>
      <c r="AK154" s="104">
        <v>108.76</v>
      </c>
      <c r="AL154" s="102">
        <v>54.38</v>
      </c>
      <c r="AM154" s="102">
        <v>54.81</v>
      </c>
      <c r="AN154" s="53">
        <f t="shared" si="60"/>
        <v>108.76</v>
      </c>
      <c r="AO154" s="53"/>
      <c r="AP154" s="102">
        <v>2416</v>
      </c>
      <c r="AQ154" s="102">
        <v>17.899999999999999</v>
      </c>
      <c r="AR154" s="50">
        <v>47</v>
      </c>
      <c r="AS154" s="50">
        <v>0.4</v>
      </c>
      <c r="AT154" s="102"/>
      <c r="AU154" s="102"/>
      <c r="AV154" s="50">
        <v>401</v>
      </c>
      <c r="AW154" s="50">
        <v>0.33582339541739248</v>
      </c>
      <c r="AX154" s="50">
        <v>4972</v>
      </c>
      <c r="AY154" s="50">
        <v>44.9</v>
      </c>
      <c r="AZ154" s="102"/>
      <c r="BA154" s="102"/>
      <c r="BB154" s="102"/>
      <c r="BC154" s="102"/>
      <c r="BD154" s="50">
        <v>117</v>
      </c>
      <c r="BE154" s="50">
        <v>1.1000000000000001</v>
      </c>
      <c r="BF154" s="50">
        <v>5076</v>
      </c>
      <c r="BG154" s="50">
        <v>45.9</v>
      </c>
      <c r="BH154" s="102"/>
      <c r="BI154" s="102"/>
      <c r="BJ154" s="50"/>
      <c r="BK154" s="50"/>
      <c r="BL154" s="50"/>
      <c r="BM154" s="50"/>
      <c r="BN154" s="102"/>
      <c r="BO154" s="50"/>
      <c r="BP154" s="50"/>
      <c r="BQ154" s="50"/>
      <c r="BR154" s="102" t="s">
        <v>967</v>
      </c>
      <c r="BS154" s="54"/>
      <c r="BT154" s="45"/>
      <c r="BU154" s="45"/>
      <c r="BV154" s="45"/>
      <c r="BW154" s="55">
        <f t="shared" si="72"/>
        <v>93.761163643813333</v>
      </c>
      <c r="BX154" s="55"/>
      <c r="BY154" s="55">
        <v>91.831163643813341</v>
      </c>
      <c r="BZ154" s="55"/>
      <c r="CA154" s="45">
        <v>2012</v>
      </c>
      <c r="CB154" s="55">
        <f t="shared" si="61"/>
        <v>35.938367120425681</v>
      </c>
      <c r="CC154" s="46" t="s">
        <v>490</v>
      </c>
      <c r="CD154" s="46" t="s">
        <v>71</v>
      </c>
      <c r="CE154" s="46" t="s">
        <v>783</v>
      </c>
      <c r="CF154" s="46">
        <v>1</v>
      </c>
      <c r="CG154" s="46" t="str">
        <f t="shared" si="62"/>
        <v>No</v>
      </c>
      <c r="CH154" s="46" t="s">
        <v>29</v>
      </c>
      <c r="CI154" s="56">
        <v>300</v>
      </c>
      <c r="CJ154" s="46">
        <v>50</v>
      </c>
      <c r="CK154" s="46" t="s">
        <v>23</v>
      </c>
      <c r="CL154" s="49" t="s">
        <v>29</v>
      </c>
      <c r="CM154" s="50">
        <v>0</v>
      </c>
      <c r="CN154" s="50"/>
      <c r="CO154" s="50"/>
      <c r="CP154" s="46" t="s">
        <v>23</v>
      </c>
      <c r="CQ154" s="46" t="s">
        <v>24</v>
      </c>
      <c r="CR154" s="46">
        <v>7</v>
      </c>
      <c r="CS154" s="46" t="s">
        <v>855</v>
      </c>
      <c r="CT154" s="46" t="s">
        <v>856</v>
      </c>
      <c r="CU154" s="46" t="s">
        <v>74</v>
      </c>
      <c r="CV154" s="46">
        <v>0</v>
      </c>
      <c r="CW154" s="46">
        <v>1</v>
      </c>
      <c r="CX154" s="49" t="s">
        <v>562</v>
      </c>
      <c r="CY154" s="49" t="s">
        <v>36</v>
      </c>
      <c r="CZ154" s="49">
        <v>1</v>
      </c>
      <c r="DA154" s="49">
        <v>1</v>
      </c>
      <c r="DB154" s="64">
        <v>30633</v>
      </c>
      <c r="DC154" s="58">
        <v>22.31</v>
      </c>
      <c r="DD154" s="58">
        <v>24.18</v>
      </c>
      <c r="DE154" s="58">
        <v>25.4</v>
      </c>
      <c r="DF154" s="58">
        <v>24.23</v>
      </c>
      <c r="DG154" s="58">
        <v>3.9108151340058108</v>
      </c>
      <c r="DH154" s="58">
        <v>77.69</v>
      </c>
      <c r="DI154" s="45" t="s">
        <v>35</v>
      </c>
      <c r="DJ154" s="59" t="str">
        <f t="shared" si="63"/>
        <v>No single majority group</v>
      </c>
      <c r="DK154" s="65">
        <v>30633</v>
      </c>
      <c r="DL154" s="58">
        <v>22.31</v>
      </c>
      <c r="DM154" s="58">
        <v>24.18</v>
      </c>
      <c r="DN154" s="58">
        <v>25.4</v>
      </c>
      <c r="DO154" s="58">
        <v>77.69</v>
      </c>
      <c r="DP154" s="66">
        <v>52.6</v>
      </c>
      <c r="DQ154" s="67">
        <v>52962</v>
      </c>
      <c r="DR154" s="53">
        <v>21</v>
      </c>
      <c r="DS154" s="58">
        <v>73</v>
      </c>
      <c r="DT154" s="53">
        <v>39.799999999999997</v>
      </c>
      <c r="DU154" s="55">
        <v>2.5299999999999998</v>
      </c>
      <c r="DV154" s="50">
        <v>36.200000000000003</v>
      </c>
      <c r="DW154" s="53">
        <v>80.599999999999994</v>
      </c>
      <c r="DX154" s="53">
        <v>99.54</v>
      </c>
      <c r="DY154" s="53">
        <v>55.120199999999997</v>
      </c>
      <c r="DZ154" s="63"/>
    </row>
    <row r="155" spans="1:130" s="5" customFormat="1" ht="14.25" hidden="1" customHeight="1">
      <c r="A155" s="45">
        <v>1099</v>
      </c>
      <c r="B155" s="46" t="s">
        <v>110</v>
      </c>
      <c r="C155" s="47">
        <v>2012</v>
      </c>
      <c r="D155" s="47" t="s">
        <v>141</v>
      </c>
      <c r="E155" s="46" t="s">
        <v>83</v>
      </c>
      <c r="F155" s="46">
        <v>4</v>
      </c>
      <c r="G155" s="48">
        <v>10000</v>
      </c>
      <c r="H155" s="46" t="s">
        <v>332</v>
      </c>
      <c r="I155" s="46">
        <v>1</v>
      </c>
      <c r="J155" s="46">
        <v>2</v>
      </c>
      <c r="K155" s="49" t="s">
        <v>142</v>
      </c>
      <c r="L155" s="49" t="s">
        <v>30</v>
      </c>
      <c r="M155" s="49" t="s">
        <v>29</v>
      </c>
      <c r="N155" s="49"/>
      <c r="O155" s="49"/>
      <c r="P155" s="49" t="s">
        <v>201</v>
      </c>
      <c r="Q155" s="49" t="s">
        <v>35</v>
      </c>
      <c r="R155" s="49">
        <v>1</v>
      </c>
      <c r="S155" s="50">
        <f t="shared" ref="S155:S163" si="73">(R155/J155)*100</f>
        <v>50</v>
      </c>
      <c r="T155" s="49">
        <v>2</v>
      </c>
      <c r="U155" s="50">
        <f t="shared" ref="U155:U163" si="74">(T155/J155)*100</f>
        <v>100</v>
      </c>
      <c r="V155" s="49" t="s">
        <v>867</v>
      </c>
      <c r="W155" s="49">
        <v>1</v>
      </c>
      <c r="X155" s="50">
        <f t="shared" ref="X155:X163" si="75">(W155/J155)*100</f>
        <v>50</v>
      </c>
      <c r="Y155" s="51" t="str">
        <f t="shared" ref="Y155:Y163" si="76">IF(L155="M","No", IF(P155="n/a","No",IF(P155="white","No","Yes")))</f>
        <v>No</v>
      </c>
      <c r="Z155" s="45"/>
      <c r="AA155" s="45"/>
      <c r="AB155" s="45"/>
      <c r="AC155" s="46" t="s">
        <v>72</v>
      </c>
      <c r="AD155" s="46" t="s">
        <v>27</v>
      </c>
      <c r="AE155" s="46" t="s">
        <v>89</v>
      </c>
      <c r="AF155" s="46" t="s">
        <v>29</v>
      </c>
      <c r="AG155" s="103">
        <v>16440</v>
      </c>
      <c r="AH155" s="52">
        <v>14052</v>
      </c>
      <c r="AI155" s="52">
        <v>14052</v>
      </c>
      <c r="AJ155" s="102">
        <v>56.63</v>
      </c>
      <c r="AK155" s="104">
        <v>113.26</v>
      </c>
      <c r="AL155" s="102">
        <v>56.63</v>
      </c>
      <c r="AM155" s="102">
        <v>57.26</v>
      </c>
      <c r="AN155" s="53">
        <f t="shared" ref="AN155:AN163" si="77">AL155/(1/(I155+1))</f>
        <v>113.26</v>
      </c>
      <c r="AO155" s="53"/>
      <c r="AP155" s="102">
        <v>2299</v>
      </c>
      <c r="AQ155" s="102">
        <v>14</v>
      </c>
      <c r="AR155" s="50">
        <v>59</v>
      </c>
      <c r="AS155" s="50">
        <v>0.4</v>
      </c>
      <c r="AT155" s="102"/>
      <c r="AU155" s="102"/>
      <c r="AV155" s="101">
        <v>59</v>
      </c>
      <c r="AW155" s="101">
        <v>0.4</v>
      </c>
      <c r="AX155" s="50">
        <v>7960</v>
      </c>
      <c r="AY155" s="50">
        <v>56.3</v>
      </c>
      <c r="AZ155" s="102"/>
      <c r="BA155" s="102"/>
      <c r="BB155" s="102"/>
      <c r="BC155" s="102"/>
      <c r="BD155" s="50">
        <v>197</v>
      </c>
      <c r="BE155" s="50">
        <v>1.4</v>
      </c>
      <c r="BF155" s="50">
        <v>8121</v>
      </c>
      <c r="BG155" s="50">
        <v>57.4</v>
      </c>
      <c r="BH155" s="102"/>
      <c r="BI155" s="102"/>
      <c r="BJ155" s="50"/>
      <c r="BK155" s="50"/>
      <c r="BL155" s="50"/>
      <c r="BM155" s="50"/>
      <c r="BN155" s="102"/>
      <c r="BO155" s="50"/>
      <c r="BP155" s="50"/>
      <c r="BQ155" s="50"/>
      <c r="BR155" s="101" t="s">
        <v>967</v>
      </c>
      <c r="BS155" s="54"/>
      <c r="BT155" s="45"/>
      <c r="BU155" s="45"/>
      <c r="BV155" s="45"/>
      <c r="BW155" s="55">
        <f t="shared" si="72"/>
        <v>93.761163643813333</v>
      </c>
      <c r="BX155" s="55"/>
      <c r="BY155" s="55">
        <v>91.831163643813341</v>
      </c>
      <c r="BZ155" s="55"/>
      <c r="CA155" s="45">
        <v>2012</v>
      </c>
      <c r="CB155" s="55">
        <f t="shared" ref="CB155:CB163" si="78">((AI155/I155)/DB155)*100</f>
        <v>45.154241645244213</v>
      </c>
      <c r="CC155" s="46" t="s">
        <v>490</v>
      </c>
      <c r="CD155" s="46" t="s">
        <v>71</v>
      </c>
      <c r="CE155" s="46" t="s">
        <v>783</v>
      </c>
      <c r="CF155" s="46">
        <v>1</v>
      </c>
      <c r="CG155" s="46" t="str">
        <f t="shared" ref="CG155:CG163" si="79">IF(CD155="Primary (decisive)", "Yes", "No")</f>
        <v>No</v>
      </c>
      <c r="CH155" s="46" t="s">
        <v>29</v>
      </c>
      <c r="CI155" s="56">
        <v>300</v>
      </c>
      <c r="CJ155" s="46">
        <v>50</v>
      </c>
      <c r="CK155" s="46" t="s">
        <v>23</v>
      </c>
      <c r="CL155" s="49" t="s">
        <v>29</v>
      </c>
      <c r="CM155" s="50">
        <v>0</v>
      </c>
      <c r="CN155" s="50"/>
      <c r="CO155" s="50"/>
      <c r="CP155" s="46" t="s">
        <v>23</v>
      </c>
      <c r="CQ155" s="46" t="s">
        <v>24</v>
      </c>
      <c r="CR155" s="46">
        <v>7</v>
      </c>
      <c r="CS155" s="46" t="s">
        <v>855</v>
      </c>
      <c r="CT155" s="46" t="s">
        <v>856</v>
      </c>
      <c r="CU155" s="46" t="s">
        <v>74</v>
      </c>
      <c r="CV155" s="46">
        <v>0</v>
      </c>
      <c r="CW155" s="46">
        <v>1</v>
      </c>
      <c r="CX155" s="49" t="s">
        <v>562</v>
      </c>
      <c r="CY155" s="49" t="s">
        <v>36</v>
      </c>
      <c r="CZ155" s="49">
        <v>1</v>
      </c>
      <c r="DA155" s="49">
        <v>1</v>
      </c>
      <c r="DB155" s="64">
        <v>31120</v>
      </c>
      <c r="DC155" s="58">
        <v>12.01</v>
      </c>
      <c r="DD155" s="58">
        <v>54.33</v>
      </c>
      <c r="DE155" s="58">
        <v>22.1</v>
      </c>
      <c r="DF155" s="58">
        <v>6.12</v>
      </c>
      <c r="DG155" s="58">
        <v>5.5109254498714657</v>
      </c>
      <c r="DH155" s="58">
        <v>87.99</v>
      </c>
      <c r="DI155" s="45" t="s">
        <v>35</v>
      </c>
      <c r="DJ155" s="59" t="str">
        <f t="shared" ref="DJ155:DJ163" si="80">IF(DH155&lt;50,"N/A",IF(DD155&gt;50,"African American",IF(DE155&gt;50,"Latino",IF(DF155&gt;50,"Asian","No single majority group"))))</f>
        <v>African American</v>
      </c>
      <c r="DK155" s="65">
        <v>31120</v>
      </c>
      <c r="DL155" s="58">
        <v>12.01</v>
      </c>
      <c r="DM155" s="58">
        <v>54.33</v>
      </c>
      <c r="DN155" s="58">
        <v>22.1</v>
      </c>
      <c r="DO155" s="58">
        <v>87.99</v>
      </c>
      <c r="DP155" s="66">
        <v>52.6</v>
      </c>
      <c r="DQ155" s="67">
        <v>52962</v>
      </c>
      <c r="DR155" s="53">
        <v>21</v>
      </c>
      <c r="DS155" s="58">
        <v>73</v>
      </c>
      <c r="DT155" s="53">
        <v>39.799999999999997</v>
      </c>
      <c r="DU155" s="55">
        <v>2.5299999999999998</v>
      </c>
      <c r="DV155" s="50">
        <v>36.200000000000003</v>
      </c>
      <c r="DW155" s="53">
        <v>80.599999999999994</v>
      </c>
      <c r="DX155" s="53">
        <v>99.54</v>
      </c>
      <c r="DY155" s="53">
        <v>55.120199999999997</v>
      </c>
      <c r="DZ155" s="63"/>
    </row>
    <row r="156" spans="1:130" s="5" customFormat="1" ht="14.25" hidden="1" customHeight="1">
      <c r="A156" s="45">
        <v>1082</v>
      </c>
      <c r="B156" s="46" t="s">
        <v>110</v>
      </c>
      <c r="C156" s="47">
        <v>2014</v>
      </c>
      <c r="D156" s="47" t="s">
        <v>70</v>
      </c>
      <c r="E156" s="46" t="s">
        <v>22</v>
      </c>
      <c r="F156" s="46">
        <v>4</v>
      </c>
      <c r="G156" s="48">
        <v>151741</v>
      </c>
      <c r="H156" s="46" t="s">
        <v>249</v>
      </c>
      <c r="I156" s="46">
        <v>1</v>
      </c>
      <c r="J156" s="46">
        <v>2</v>
      </c>
      <c r="K156" s="49" t="s">
        <v>111</v>
      </c>
      <c r="L156" s="49" t="s">
        <v>40</v>
      </c>
      <c r="M156" s="49" t="s">
        <v>35</v>
      </c>
      <c r="N156" s="49" t="s">
        <v>512</v>
      </c>
      <c r="O156" s="49">
        <v>2014</v>
      </c>
      <c r="P156" s="49" t="s">
        <v>31</v>
      </c>
      <c r="Q156" s="49" t="s">
        <v>29</v>
      </c>
      <c r="R156" s="49">
        <v>1</v>
      </c>
      <c r="S156" s="50">
        <f t="shared" si="73"/>
        <v>50</v>
      </c>
      <c r="T156" s="49">
        <v>0</v>
      </c>
      <c r="U156" s="50">
        <f t="shared" si="74"/>
        <v>0</v>
      </c>
      <c r="V156" s="45"/>
      <c r="W156" s="49">
        <v>0</v>
      </c>
      <c r="X156" s="50">
        <f t="shared" si="75"/>
        <v>0</v>
      </c>
      <c r="Y156" s="51" t="str">
        <f t="shared" si="76"/>
        <v>No</v>
      </c>
      <c r="Z156" s="49" t="s">
        <v>35</v>
      </c>
      <c r="AA156" s="49" t="s">
        <v>23</v>
      </c>
      <c r="AB156" s="49" t="s">
        <v>23</v>
      </c>
      <c r="AC156" s="46" t="s">
        <v>72</v>
      </c>
      <c r="AD156" s="46" t="s">
        <v>27</v>
      </c>
      <c r="AE156" s="46" t="s">
        <v>73</v>
      </c>
      <c r="AF156" s="46" t="s">
        <v>29</v>
      </c>
      <c r="AG156" s="103">
        <v>104834</v>
      </c>
      <c r="AH156" s="52">
        <v>79578</v>
      </c>
      <c r="AI156" s="52">
        <v>79578</v>
      </c>
      <c r="AJ156" s="102">
        <v>76.34</v>
      </c>
      <c r="AK156" s="104">
        <v>152.68</v>
      </c>
      <c r="AL156" s="102">
        <v>76.34</v>
      </c>
      <c r="AM156" s="102">
        <v>76.3</v>
      </c>
      <c r="AN156" s="53">
        <f t="shared" si="77"/>
        <v>152.68</v>
      </c>
      <c r="AO156" s="53">
        <v>22.87</v>
      </c>
      <c r="AP156" s="102">
        <v>25448</v>
      </c>
      <c r="AQ156" s="102">
        <v>24.274567411336019</v>
      </c>
      <c r="AR156" s="102">
        <v>99</v>
      </c>
      <c r="AS156" s="102">
        <f>AR156/AI156 *100</f>
        <v>0.12440624293146346</v>
      </c>
      <c r="AT156" s="102"/>
      <c r="AU156" s="102"/>
      <c r="AV156" s="102"/>
      <c r="AW156" s="102"/>
      <c r="AX156" s="102"/>
      <c r="AY156" s="102"/>
      <c r="AZ156" s="102"/>
      <c r="BA156" s="102"/>
      <c r="BB156" s="102"/>
      <c r="BC156" s="102"/>
      <c r="BD156" s="102"/>
      <c r="BE156" s="102"/>
      <c r="BF156" s="102"/>
      <c r="BG156" s="102"/>
      <c r="BH156" s="102"/>
      <c r="BI156" s="102"/>
      <c r="BJ156" s="102"/>
      <c r="BK156" s="102"/>
      <c r="BL156" s="102"/>
      <c r="BM156" s="102"/>
      <c r="BN156" s="102"/>
      <c r="BO156" s="102"/>
      <c r="BP156" s="102"/>
      <c r="BQ156" s="102"/>
      <c r="BR156" s="102" t="s">
        <v>967</v>
      </c>
      <c r="BS156" s="54" t="s">
        <v>29</v>
      </c>
      <c r="BT156" s="45" t="str">
        <f>IF(J156=I156, "No", IF(AJ156/AO156&lt;2, "Yes", "No"))</f>
        <v>No</v>
      </c>
      <c r="BU156" s="45" t="str">
        <f>IF(J156=I156, "No", IF(AJ156/AO156&lt;1.5, "Yes", "No"))</f>
        <v>No</v>
      </c>
      <c r="BV156" s="45" t="str">
        <f>IF(J156=I156, "No", IF((ABS(AJ156-AO156))&lt;(5/I156), "Yes", "No"))</f>
        <v>No</v>
      </c>
      <c r="BW156" s="55">
        <f t="shared" si="72"/>
        <v>93.761163643813333</v>
      </c>
      <c r="BX156" s="55">
        <f>(146454/(146454+9745))*100</f>
        <v>93.761163643813333</v>
      </c>
      <c r="BY156" s="55">
        <v>91.831163643813341</v>
      </c>
      <c r="BZ156" s="55">
        <f>BX156-(0.0386*100/2)</f>
        <v>91.831163643813326</v>
      </c>
      <c r="CA156" s="45">
        <v>2012</v>
      </c>
      <c r="CB156" s="55">
        <f t="shared" si="78"/>
        <v>30.290042630937879</v>
      </c>
      <c r="CC156" s="46" t="s">
        <v>490</v>
      </c>
      <c r="CD156" s="46" t="s">
        <v>71</v>
      </c>
      <c r="CE156" s="46" t="s">
        <v>783</v>
      </c>
      <c r="CF156" s="46">
        <v>1</v>
      </c>
      <c r="CG156" s="46" t="str">
        <f t="shared" si="79"/>
        <v>No</v>
      </c>
      <c r="CH156" s="46" t="s">
        <v>29</v>
      </c>
      <c r="CI156" s="56">
        <v>300</v>
      </c>
      <c r="CJ156" s="46">
        <v>50</v>
      </c>
      <c r="CK156" s="46" t="s">
        <v>23</v>
      </c>
      <c r="CL156" s="49" t="s">
        <v>29</v>
      </c>
      <c r="CM156" s="50">
        <v>0</v>
      </c>
      <c r="CN156" s="50"/>
      <c r="CO156" s="50"/>
      <c r="CP156" s="46" t="s">
        <v>23</v>
      </c>
      <c r="CQ156" s="46" t="s">
        <v>23</v>
      </c>
      <c r="CR156" s="46">
        <v>7</v>
      </c>
      <c r="CS156" s="46" t="s">
        <v>855</v>
      </c>
      <c r="CT156" s="46" t="s">
        <v>53</v>
      </c>
      <c r="CU156" s="46" t="s">
        <v>74</v>
      </c>
      <c r="CV156" s="46" t="s">
        <v>23</v>
      </c>
      <c r="CW156" s="46">
        <v>2</v>
      </c>
      <c r="CX156" s="49" t="s">
        <v>562</v>
      </c>
      <c r="CY156" s="49" t="s">
        <v>36</v>
      </c>
      <c r="CZ156" s="49">
        <v>1</v>
      </c>
      <c r="DA156" s="49">
        <v>1</v>
      </c>
      <c r="DB156" s="57">
        <v>262720</v>
      </c>
      <c r="DC156" s="58">
        <v>34.276035322777098</v>
      </c>
      <c r="DD156" s="58">
        <v>30.334576735688184</v>
      </c>
      <c r="DE156" s="58">
        <v>14.151948842874543</v>
      </c>
      <c r="DF156" s="58">
        <v>16.502359926918391</v>
      </c>
      <c r="DG156" s="58">
        <v>4.7350791717417851</v>
      </c>
      <c r="DH156" s="58">
        <v>65.723964677222895</v>
      </c>
      <c r="DI156" s="45" t="s">
        <v>35</v>
      </c>
      <c r="DJ156" s="59" t="str">
        <f t="shared" si="80"/>
        <v>No single majority group</v>
      </c>
      <c r="DK156" s="60">
        <v>262720</v>
      </c>
      <c r="DL156" s="58">
        <v>34.276035322777098</v>
      </c>
      <c r="DM156" s="58">
        <v>30.334576735688184</v>
      </c>
      <c r="DN156" s="58">
        <v>14.151948842874543</v>
      </c>
      <c r="DO156" s="58">
        <v>65.723964677222895</v>
      </c>
      <c r="DP156" s="66">
        <v>52.6</v>
      </c>
      <c r="DQ156" s="67">
        <v>52962</v>
      </c>
      <c r="DR156" s="53">
        <v>21</v>
      </c>
      <c r="DS156" s="58">
        <v>73</v>
      </c>
      <c r="DT156" s="53">
        <v>39.799999999999997</v>
      </c>
      <c r="DU156" s="55">
        <v>2.5299999999999998</v>
      </c>
      <c r="DV156" s="50">
        <v>36.200000000000003</v>
      </c>
      <c r="DW156" s="53">
        <v>80.599999999999994</v>
      </c>
      <c r="DX156" s="53">
        <v>99.54</v>
      </c>
      <c r="DY156" s="53">
        <v>55.120199999999997</v>
      </c>
      <c r="DZ156" s="63"/>
    </row>
    <row r="157" spans="1:130" s="5" customFormat="1" ht="14.25" hidden="1" customHeight="1">
      <c r="A157" s="45">
        <v>1084</v>
      </c>
      <c r="B157" s="46" t="s">
        <v>110</v>
      </c>
      <c r="C157" s="47">
        <v>2014</v>
      </c>
      <c r="D157" s="47" t="s">
        <v>91</v>
      </c>
      <c r="E157" s="71" t="s">
        <v>92</v>
      </c>
      <c r="F157" s="46">
        <v>4</v>
      </c>
      <c r="G157" s="48">
        <v>82204</v>
      </c>
      <c r="H157" s="46" t="s">
        <v>249</v>
      </c>
      <c r="I157" s="46">
        <v>1</v>
      </c>
      <c r="J157" s="46">
        <v>5</v>
      </c>
      <c r="K157" s="49" t="s">
        <v>115</v>
      </c>
      <c r="L157" s="49" t="s">
        <v>30</v>
      </c>
      <c r="M157" s="49" t="s">
        <v>29</v>
      </c>
      <c r="N157" s="49" t="s">
        <v>512</v>
      </c>
      <c r="O157" s="49">
        <v>2014</v>
      </c>
      <c r="P157" s="49" t="s">
        <v>857</v>
      </c>
      <c r="Q157" s="49" t="s">
        <v>35</v>
      </c>
      <c r="R157" s="49">
        <v>1</v>
      </c>
      <c r="S157" s="50">
        <f t="shared" si="73"/>
        <v>20</v>
      </c>
      <c r="T157" s="49">
        <v>3</v>
      </c>
      <c r="U157" s="50">
        <f t="shared" si="74"/>
        <v>60</v>
      </c>
      <c r="V157" s="49" t="s">
        <v>793</v>
      </c>
      <c r="W157" s="49">
        <v>0</v>
      </c>
      <c r="X157" s="50">
        <f t="shared" si="75"/>
        <v>0</v>
      </c>
      <c r="Y157" s="51" t="str">
        <f t="shared" si="76"/>
        <v>No</v>
      </c>
      <c r="Z157" s="49" t="s">
        <v>35</v>
      </c>
      <c r="AA157" s="49" t="s">
        <v>23</v>
      </c>
      <c r="AB157" s="49" t="s">
        <v>23</v>
      </c>
      <c r="AC157" s="46" t="s">
        <v>114</v>
      </c>
      <c r="AD157" s="46" t="s">
        <v>27</v>
      </c>
      <c r="AE157" s="46" t="s">
        <v>73</v>
      </c>
      <c r="AF157" s="46" t="s">
        <v>29</v>
      </c>
      <c r="AG157" s="103">
        <v>15293</v>
      </c>
      <c r="AH157" s="52">
        <v>13587</v>
      </c>
      <c r="AI157" s="52">
        <v>13587</v>
      </c>
      <c r="AJ157" s="102">
        <v>35.93</v>
      </c>
      <c r="AK157" s="104">
        <v>71.86</v>
      </c>
      <c r="AL157" s="102">
        <v>53.03</v>
      </c>
      <c r="AM157" s="102">
        <v>53.03</v>
      </c>
      <c r="AN157" s="53">
        <f t="shared" si="77"/>
        <v>106.06</v>
      </c>
      <c r="AO157" s="53">
        <v>32.83</v>
      </c>
      <c r="AP157" s="102">
        <v>1697</v>
      </c>
      <c r="AQ157" s="102">
        <v>11.1</v>
      </c>
      <c r="AR157" s="102">
        <v>96</v>
      </c>
      <c r="AS157" s="102">
        <v>0.7</v>
      </c>
      <c r="AT157" s="102"/>
      <c r="AU157" s="102"/>
      <c r="AV157" s="102">
        <v>18</v>
      </c>
      <c r="AW157" s="102">
        <v>0.1</v>
      </c>
      <c r="AX157" s="102">
        <v>2090</v>
      </c>
      <c r="AY157" s="102">
        <v>15.4</v>
      </c>
      <c r="AZ157" s="102"/>
      <c r="BA157" s="102"/>
      <c r="BB157" s="102"/>
      <c r="BC157" s="102"/>
      <c r="BD157" s="102">
        <v>94</v>
      </c>
      <c r="BE157" s="102">
        <v>0.7</v>
      </c>
      <c r="BF157" s="102">
        <v>2248</v>
      </c>
      <c r="BG157" s="102">
        <v>16.5</v>
      </c>
      <c r="BH157" s="102">
        <v>1190</v>
      </c>
      <c r="BI157" s="102">
        <v>8.8000000000000007</v>
      </c>
      <c r="BJ157" s="102">
        <v>203</v>
      </c>
      <c r="BK157" s="102">
        <v>1.5</v>
      </c>
      <c r="BL157" s="102">
        <v>987</v>
      </c>
      <c r="BM157" s="102">
        <v>7.3</v>
      </c>
      <c r="BN157" s="102"/>
      <c r="BO157" s="102"/>
      <c r="BP157" s="102"/>
      <c r="BQ157" s="102"/>
      <c r="BR157" s="102" t="s">
        <v>967</v>
      </c>
      <c r="BS157" s="54" t="s">
        <v>29</v>
      </c>
      <c r="BT157" s="45" t="str">
        <f>IF(J157=I157, "No", IF(AJ157/AO157&lt;2, "Yes", "No"))</f>
        <v>Yes</v>
      </c>
      <c r="BU157" s="45" t="str">
        <f>IF(J157=I157, "No", IF(AJ157/AO157&lt;1.5, "Yes", "No"))</f>
        <v>Yes</v>
      </c>
      <c r="BV157" s="45" t="str">
        <f>IF(J157=I157, "No", IF((ABS(AJ157-AO157))&lt;(5/I157), "Yes", "No"))</f>
        <v>Yes</v>
      </c>
      <c r="BW157" s="55">
        <f t="shared" si="72"/>
        <v>93.761163643813333</v>
      </c>
      <c r="BX157" s="55"/>
      <c r="BY157" s="55">
        <v>91.831163643813341</v>
      </c>
      <c r="BZ157" s="55"/>
      <c r="CA157" s="45">
        <v>2012</v>
      </c>
      <c r="CB157" s="55">
        <f t="shared" si="78"/>
        <v>34.246609870444118</v>
      </c>
      <c r="CC157" s="46" t="s">
        <v>490</v>
      </c>
      <c r="CD157" s="46" t="s">
        <v>71</v>
      </c>
      <c r="CE157" s="46" t="s">
        <v>783</v>
      </c>
      <c r="CF157" s="46">
        <v>1</v>
      </c>
      <c r="CG157" s="46" t="str">
        <f t="shared" si="79"/>
        <v>No</v>
      </c>
      <c r="CH157" s="46" t="s">
        <v>29</v>
      </c>
      <c r="CI157" s="56">
        <v>300</v>
      </c>
      <c r="CJ157" s="46">
        <v>50</v>
      </c>
      <c r="CK157" s="46" t="s">
        <v>23</v>
      </c>
      <c r="CL157" s="49" t="s">
        <v>35</v>
      </c>
      <c r="CM157" s="102">
        <f>(4/5)*100</f>
        <v>80</v>
      </c>
      <c r="CN157" s="102"/>
      <c r="CO157" s="102"/>
      <c r="CP157" s="46" t="s">
        <v>23</v>
      </c>
      <c r="CQ157" s="46" t="s">
        <v>24</v>
      </c>
      <c r="CR157" s="46">
        <v>7</v>
      </c>
      <c r="CS157" s="46" t="s">
        <v>855</v>
      </c>
      <c r="CT157" s="46" t="s">
        <v>856</v>
      </c>
      <c r="CU157" s="46" t="s">
        <v>74</v>
      </c>
      <c r="CV157" s="46" t="s">
        <v>23</v>
      </c>
      <c r="CW157" s="46">
        <v>2</v>
      </c>
      <c r="CX157" s="49" t="s">
        <v>562</v>
      </c>
      <c r="CY157" s="49" t="s">
        <v>36</v>
      </c>
      <c r="CZ157" s="49">
        <v>1</v>
      </c>
      <c r="DA157" s="49">
        <v>1</v>
      </c>
      <c r="DB157" s="64">
        <v>39674</v>
      </c>
      <c r="DC157" s="58">
        <v>34.479999999999997</v>
      </c>
      <c r="DD157" s="58">
        <v>20.239999999999998</v>
      </c>
      <c r="DE157" s="58">
        <v>9.7199999999999989</v>
      </c>
      <c r="DF157" s="58">
        <v>30.95</v>
      </c>
      <c r="DG157" s="58">
        <v>4.6100720875132328</v>
      </c>
      <c r="DH157" s="58">
        <v>65.52</v>
      </c>
      <c r="DI157" s="45" t="s">
        <v>35</v>
      </c>
      <c r="DJ157" s="59" t="str">
        <f t="shared" si="80"/>
        <v>No single majority group</v>
      </c>
      <c r="DK157" s="65">
        <v>39674</v>
      </c>
      <c r="DL157" s="58">
        <v>34.479999999999997</v>
      </c>
      <c r="DM157" s="58">
        <v>20.239999999999998</v>
      </c>
      <c r="DN157" s="58">
        <v>9.7199999999999989</v>
      </c>
      <c r="DO157" s="58">
        <v>65.52</v>
      </c>
      <c r="DP157" s="66">
        <v>52.6</v>
      </c>
      <c r="DQ157" s="67">
        <v>52962</v>
      </c>
      <c r="DR157" s="53">
        <v>21</v>
      </c>
      <c r="DS157" s="58">
        <v>73</v>
      </c>
      <c r="DT157" s="53">
        <v>39.799999999999997</v>
      </c>
      <c r="DU157" s="105">
        <v>2.5299999999999998</v>
      </c>
      <c r="DV157" s="102">
        <v>36.200000000000003</v>
      </c>
      <c r="DW157" s="53">
        <v>80.599999999999994</v>
      </c>
      <c r="DX157" s="53">
        <v>99.54</v>
      </c>
      <c r="DY157" s="53">
        <v>55.120199999999997</v>
      </c>
      <c r="DZ157" s="63"/>
    </row>
    <row r="158" spans="1:130" s="5" customFormat="1" ht="14.25" hidden="1" customHeight="1">
      <c r="A158" s="45">
        <v>1086</v>
      </c>
      <c r="B158" s="46" t="s">
        <v>110</v>
      </c>
      <c r="C158" s="47">
        <v>2014</v>
      </c>
      <c r="D158" s="47" t="s">
        <v>79</v>
      </c>
      <c r="E158" s="71" t="s">
        <v>80</v>
      </c>
      <c r="F158" s="46">
        <v>4</v>
      </c>
      <c r="G158" s="48">
        <v>82204</v>
      </c>
      <c r="H158" s="46" t="s">
        <v>249</v>
      </c>
      <c r="I158" s="46">
        <v>1</v>
      </c>
      <c r="J158" s="46">
        <v>3</v>
      </c>
      <c r="K158" s="49" t="s">
        <v>118</v>
      </c>
      <c r="L158" s="49" t="s">
        <v>40</v>
      </c>
      <c r="M158" s="49" t="s">
        <v>35</v>
      </c>
      <c r="N158" s="49" t="s">
        <v>512</v>
      </c>
      <c r="O158" s="49">
        <v>2014</v>
      </c>
      <c r="P158" s="49" t="s">
        <v>31</v>
      </c>
      <c r="Q158" s="49" t="s">
        <v>29</v>
      </c>
      <c r="R158" s="49">
        <v>2</v>
      </c>
      <c r="S158" s="50">
        <f t="shared" si="73"/>
        <v>66.666666666666657</v>
      </c>
      <c r="T158" s="49">
        <v>1</v>
      </c>
      <c r="U158" s="50">
        <f t="shared" si="74"/>
        <v>33.333333333333329</v>
      </c>
      <c r="V158" s="49" t="s">
        <v>173</v>
      </c>
      <c r="W158" s="49">
        <v>0</v>
      </c>
      <c r="X158" s="50">
        <f t="shared" si="75"/>
        <v>0</v>
      </c>
      <c r="Y158" s="51" t="str">
        <f t="shared" si="76"/>
        <v>No</v>
      </c>
      <c r="Z158" s="49" t="s">
        <v>35</v>
      </c>
      <c r="AA158" s="49" t="s">
        <v>23</v>
      </c>
      <c r="AB158" s="49" t="s">
        <v>23</v>
      </c>
      <c r="AC158" s="46" t="s">
        <v>72</v>
      </c>
      <c r="AD158" s="46" t="s">
        <v>27</v>
      </c>
      <c r="AE158" s="46" t="s">
        <v>73</v>
      </c>
      <c r="AF158" s="46" t="s">
        <v>29</v>
      </c>
      <c r="AG158" s="103">
        <v>20018</v>
      </c>
      <c r="AH158" s="52">
        <v>17722</v>
      </c>
      <c r="AI158" s="52">
        <v>17722</v>
      </c>
      <c r="AJ158" s="102">
        <v>63.95</v>
      </c>
      <c r="AK158" s="104">
        <v>127.9</v>
      </c>
      <c r="AL158" s="102">
        <v>63.95</v>
      </c>
      <c r="AM158" s="102">
        <v>66.900000000000006</v>
      </c>
      <c r="AN158" s="53">
        <f t="shared" si="77"/>
        <v>127.9</v>
      </c>
      <c r="AO158" s="53">
        <v>30.06</v>
      </c>
      <c r="AP158" s="102">
        <v>2294</v>
      </c>
      <c r="AQ158" s="102">
        <v>11.5</v>
      </c>
      <c r="AR158" s="102">
        <v>56</v>
      </c>
      <c r="AS158" s="102">
        <v>0.3</v>
      </c>
      <c r="AT158" s="102"/>
      <c r="AU158" s="102"/>
      <c r="AV158" s="102">
        <v>4</v>
      </c>
      <c r="AW158" s="102">
        <v>0</v>
      </c>
      <c r="AX158" s="102">
        <v>2730</v>
      </c>
      <c r="AY158" s="102">
        <v>15.4</v>
      </c>
      <c r="AZ158" s="102"/>
      <c r="BA158" s="102"/>
      <c r="BB158" s="102"/>
      <c r="BC158" s="102"/>
      <c r="BD158" s="102">
        <v>119</v>
      </c>
      <c r="BE158" s="102">
        <v>0.7</v>
      </c>
      <c r="BF158" s="102">
        <v>2883</v>
      </c>
      <c r="BG158" s="102">
        <v>16.3</v>
      </c>
      <c r="BH158" s="102">
        <v>320</v>
      </c>
      <c r="BI158" s="102">
        <v>1.8</v>
      </c>
      <c r="BJ158" s="102">
        <v>0</v>
      </c>
      <c r="BK158" s="102">
        <v>0</v>
      </c>
      <c r="BL158" s="102">
        <v>320</v>
      </c>
      <c r="BM158" s="102">
        <v>1.8</v>
      </c>
      <c r="BN158" s="102"/>
      <c r="BO158" s="102"/>
      <c r="BP158" s="102"/>
      <c r="BQ158" s="102"/>
      <c r="BR158" s="102" t="s">
        <v>967</v>
      </c>
      <c r="BS158" s="54" t="s">
        <v>29</v>
      </c>
      <c r="BT158" s="45" t="str">
        <f>IF(J158=I158, "No", IF(AJ158/AO158&lt;2, "Yes", "No"))</f>
        <v>No</v>
      </c>
      <c r="BU158" s="45" t="str">
        <f>IF(J158=I158, "No", IF(AJ158/AO158&lt;1.5, "Yes", "No"))</f>
        <v>No</v>
      </c>
      <c r="BV158" s="45" t="str">
        <f>IF(J158=I158, "No", IF((ABS(AJ158-AO158))&lt;(5/I158), "Yes", "No"))</f>
        <v>No</v>
      </c>
      <c r="BW158" s="55">
        <f t="shared" si="72"/>
        <v>93.761163643813333</v>
      </c>
      <c r="BX158" s="55"/>
      <c r="BY158" s="55">
        <v>91.831163643813341</v>
      </c>
      <c r="BZ158" s="55"/>
      <c r="CA158" s="45">
        <v>2012</v>
      </c>
      <c r="CB158" s="55">
        <f t="shared" si="78"/>
        <v>48.483024649139608</v>
      </c>
      <c r="CC158" s="46" t="s">
        <v>490</v>
      </c>
      <c r="CD158" s="46" t="s">
        <v>71</v>
      </c>
      <c r="CE158" s="46" t="s">
        <v>783</v>
      </c>
      <c r="CF158" s="46">
        <v>1</v>
      </c>
      <c r="CG158" s="46" t="str">
        <f t="shared" si="79"/>
        <v>No</v>
      </c>
      <c r="CH158" s="46" t="s">
        <v>29</v>
      </c>
      <c r="CI158" s="56">
        <v>300</v>
      </c>
      <c r="CJ158" s="46">
        <v>50</v>
      </c>
      <c r="CK158" s="46" t="s">
        <v>23</v>
      </c>
      <c r="CL158" s="49" t="s">
        <v>35</v>
      </c>
      <c r="CM158" s="50">
        <f>(2/3)*100</f>
        <v>66.666666666666657</v>
      </c>
      <c r="CN158" s="50"/>
      <c r="CO158" s="50"/>
      <c r="CP158" s="46" t="s">
        <v>23</v>
      </c>
      <c r="CQ158" s="46" t="s">
        <v>24</v>
      </c>
      <c r="CR158" s="46">
        <v>7</v>
      </c>
      <c r="CS158" s="46" t="s">
        <v>855</v>
      </c>
      <c r="CT158" s="46" t="s">
        <v>856</v>
      </c>
      <c r="CU158" s="46" t="s">
        <v>74</v>
      </c>
      <c r="CV158" s="46" t="s">
        <v>23</v>
      </c>
      <c r="CW158" s="46">
        <v>2</v>
      </c>
      <c r="CX158" s="49" t="s">
        <v>562</v>
      </c>
      <c r="CY158" s="49" t="s">
        <v>36</v>
      </c>
      <c r="CZ158" s="49">
        <v>1</v>
      </c>
      <c r="DA158" s="49">
        <v>1</v>
      </c>
      <c r="DB158" s="64">
        <v>36553</v>
      </c>
      <c r="DC158" s="58">
        <v>49.82</v>
      </c>
      <c r="DD158" s="58">
        <v>18.05</v>
      </c>
      <c r="DE158" s="58">
        <v>9.0300000000000011</v>
      </c>
      <c r="DF158" s="58">
        <v>18.790000000000003</v>
      </c>
      <c r="DG158" s="58">
        <v>4.2650398052143466</v>
      </c>
      <c r="DH158" s="58">
        <v>50.18</v>
      </c>
      <c r="DI158" s="45" t="s">
        <v>35</v>
      </c>
      <c r="DJ158" s="59" t="str">
        <f t="shared" si="80"/>
        <v>No single majority group</v>
      </c>
      <c r="DK158" s="65">
        <v>36553</v>
      </c>
      <c r="DL158" s="58">
        <v>49.82</v>
      </c>
      <c r="DM158" s="58">
        <v>18.05</v>
      </c>
      <c r="DN158" s="58">
        <v>9.0300000000000011</v>
      </c>
      <c r="DO158" s="58">
        <v>50.18</v>
      </c>
      <c r="DP158" s="66">
        <v>52.6</v>
      </c>
      <c r="DQ158" s="67">
        <v>52962</v>
      </c>
      <c r="DR158" s="53">
        <v>21</v>
      </c>
      <c r="DS158" s="58">
        <v>73</v>
      </c>
      <c r="DT158" s="53">
        <v>39.799999999999997</v>
      </c>
      <c r="DU158" s="55">
        <v>2.5299999999999998</v>
      </c>
      <c r="DV158" s="50">
        <v>36.200000000000003</v>
      </c>
      <c r="DW158" s="53">
        <v>80.599999999999994</v>
      </c>
      <c r="DX158" s="53">
        <v>99.54</v>
      </c>
      <c r="DY158" s="53">
        <v>55.120199999999997</v>
      </c>
      <c r="DZ158" s="63"/>
    </row>
    <row r="159" spans="1:130" s="5" customFormat="1" ht="14.25" hidden="1" customHeight="1">
      <c r="A159" s="45">
        <v>1088</v>
      </c>
      <c r="B159" s="46" t="s">
        <v>110</v>
      </c>
      <c r="C159" s="47">
        <v>2014</v>
      </c>
      <c r="D159" s="47" t="s">
        <v>100</v>
      </c>
      <c r="E159" s="46" t="s">
        <v>101</v>
      </c>
      <c r="F159" s="46">
        <v>4</v>
      </c>
      <c r="G159" s="48">
        <v>82204</v>
      </c>
      <c r="H159" s="46" t="s">
        <v>249</v>
      </c>
      <c r="I159" s="46">
        <v>1</v>
      </c>
      <c r="J159" s="46">
        <v>5</v>
      </c>
      <c r="K159" s="49" t="s">
        <v>121</v>
      </c>
      <c r="L159" s="49" t="s">
        <v>40</v>
      </c>
      <c r="M159" s="49" t="s">
        <v>35</v>
      </c>
      <c r="N159" s="49" t="s">
        <v>513</v>
      </c>
      <c r="O159" s="49">
        <v>2002</v>
      </c>
      <c r="P159" s="49" t="s">
        <v>201</v>
      </c>
      <c r="Q159" s="49" t="s">
        <v>35</v>
      </c>
      <c r="R159" s="49">
        <v>2</v>
      </c>
      <c r="S159" s="50">
        <f t="shared" si="73"/>
        <v>40</v>
      </c>
      <c r="T159" s="49">
        <v>4</v>
      </c>
      <c r="U159" s="50">
        <f t="shared" si="74"/>
        <v>80</v>
      </c>
      <c r="V159" s="49" t="s">
        <v>864</v>
      </c>
      <c r="W159" s="49">
        <v>2</v>
      </c>
      <c r="X159" s="50">
        <f t="shared" si="75"/>
        <v>40</v>
      </c>
      <c r="Y159" s="51" t="str">
        <f t="shared" si="76"/>
        <v>Yes</v>
      </c>
      <c r="Z159" s="49" t="s">
        <v>29</v>
      </c>
      <c r="AA159" s="49" t="s">
        <v>35</v>
      </c>
      <c r="AB159" s="45" t="s">
        <v>35</v>
      </c>
      <c r="AC159" s="46" t="s">
        <v>114</v>
      </c>
      <c r="AD159" s="46" t="s">
        <v>27</v>
      </c>
      <c r="AE159" s="46" t="s">
        <v>73</v>
      </c>
      <c r="AF159" s="46" t="s">
        <v>29</v>
      </c>
      <c r="AG159" s="103">
        <v>12383</v>
      </c>
      <c r="AH159" s="52">
        <v>11213</v>
      </c>
      <c r="AI159" s="52">
        <v>11213</v>
      </c>
      <c r="AJ159" s="102">
        <v>42.6</v>
      </c>
      <c r="AK159" s="104">
        <v>85.2</v>
      </c>
      <c r="AL159" s="102">
        <v>52.33</v>
      </c>
      <c r="AM159" s="102">
        <v>52.33</v>
      </c>
      <c r="AN159" s="53">
        <f t="shared" si="77"/>
        <v>104.66</v>
      </c>
      <c r="AO159" s="53">
        <v>29.94</v>
      </c>
      <c r="AP159" s="102">
        <v>1178</v>
      </c>
      <c r="AQ159" s="102">
        <v>9.5</v>
      </c>
      <c r="AR159" s="102">
        <v>88</v>
      </c>
      <c r="AS159" s="102">
        <v>0.8</v>
      </c>
      <c r="AT159" s="102"/>
      <c r="AU159" s="102"/>
      <c r="AV159" s="102">
        <v>12</v>
      </c>
      <c r="AW159" s="102">
        <v>0.1</v>
      </c>
      <c r="AX159" s="102">
        <v>2996</v>
      </c>
      <c r="AY159" s="102">
        <v>26.7</v>
      </c>
      <c r="AZ159" s="102"/>
      <c r="BA159" s="102"/>
      <c r="BB159" s="102"/>
      <c r="BC159" s="102"/>
      <c r="BD159" s="102">
        <v>107</v>
      </c>
      <c r="BE159" s="102">
        <v>1</v>
      </c>
      <c r="BF159" s="102">
        <v>3151</v>
      </c>
      <c r="BG159" s="102">
        <v>28.1</v>
      </c>
      <c r="BH159" s="102">
        <v>774</v>
      </c>
      <c r="BI159" s="102">
        <v>6.9</v>
      </c>
      <c r="BJ159" s="102">
        <v>2</v>
      </c>
      <c r="BK159" s="102">
        <v>0</v>
      </c>
      <c r="BL159" s="102">
        <v>772</v>
      </c>
      <c r="BM159" s="102">
        <v>6.9</v>
      </c>
      <c r="BN159" s="102"/>
      <c r="BO159" s="102"/>
      <c r="BP159" s="102"/>
      <c r="BQ159" s="102"/>
      <c r="BR159" s="102" t="s">
        <v>967</v>
      </c>
      <c r="BS159" s="54" t="s">
        <v>29</v>
      </c>
      <c r="BT159" s="45" t="str">
        <f>IF(J159=I159, "No", IF(AJ159/AO159&lt;2, "Yes", "No"))</f>
        <v>Yes</v>
      </c>
      <c r="BU159" s="45" t="str">
        <f>IF(J159=I159, "No", IF(AJ159/AO159&lt;1.5, "Yes", "No"))</f>
        <v>Yes</v>
      </c>
      <c r="BV159" s="45" t="str">
        <f>IF(J159=I159, "No", IF((ABS(AJ159-AO159))&lt;(5/I159), "Yes", "No"))</f>
        <v>No</v>
      </c>
      <c r="BW159" s="55">
        <f t="shared" si="72"/>
        <v>93.761163643813333</v>
      </c>
      <c r="BX159" s="55"/>
      <c r="BY159" s="55">
        <v>91.831163643813341</v>
      </c>
      <c r="BZ159" s="55"/>
      <c r="CA159" s="45">
        <v>2012</v>
      </c>
      <c r="CB159" s="55">
        <f t="shared" si="78"/>
        <v>32.377569877569876</v>
      </c>
      <c r="CC159" s="46" t="s">
        <v>490</v>
      </c>
      <c r="CD159" s="46" t="s">
        <v>71</v>
      </c>
      <c r="CE159" s="46" t="s">
        <v>783</v>
      </c>
      <c r="CF159" s="46">
        <v>1</v>
      </c>
      <c r="CG159" s="46" t="str">
        <f t="shared" si="79"/>
        <v>No</v>
      </c>
      <c r="CH159" s="46" t="s">
        <v>29</v>
      </c>
      <c r="CI159" s="56">
        <v>300</v>
      </c>
      <c r="CJ159" s="46">
        <v>50</v>
      </c>
      <c r="CK159" s="46" t="s">
        <v>23</v>
      </c>
      <c r="CL159" s="49" t="s">
        <v>35</v>
      </c>
      <c r="CM159" s="50">
        <f>(2/5)*100</f>
        <v>40</v>
      </c>
      <c r="CN159" s="50"/>
      <c r="CO159" s="50"/>
      <c r="CP159" s="46" t="s">
        <v>23</v>
      </c>
      <c r="CQ159" s="46" t="s">
        <v>24</v>
      </c>
      <c r="CR159" s="46">
        <v>7</v>
      </c>
      <c r="CS159" s="46" t="s">
        <v>855</v>
      </c>
      <c r="CT159" s="46" t="s">
        <v>856</v>
      </c>
      <c r="CU159" s="46" t="s">
        <v>74</v>
      </c>
      <c r="CV159" s="46" t="s">
        <v>23</v>
      </c>
      <c r="CW159" s="46">
        <v>2</v>
      </c>
      <c r="CX159" s="49" t="s">
        <v>562</v>
      </c>
      <c r="CY159" s="49" t="s">
        <v>36</v>
      </c>
      <c r="CZ159" s="49">
        <v>1</v>
      </c>
      <c r="DA159" s="49">
        <v>1</v>
      </c>
      <c r="DB159" s="64">
        <v>34632</v>
      </c>
      <c r="DC159" s="58">
        <v>18.509999999999998</v>
      </c>
      <c r="DD159" s="58">
        <v>51.06</v>
      </c>
      <c r="DE159" s="58">
        <v>17.8</v>
      </c>
      <c r="DF159" s="58">
        <v>8.18</v>
      </c>
      <c r="DG159" s="58">
        <v>4.4467544467544462</v>
      </c>
      <c r="DH159" s="58">
        <v>81.489999999999995</v>
      </c>
      <c r="DI159" s="45" t="s">
        <v>35</v>
      </c>
      <c r="DJ159" s="59" t="str">
        <f t="shared" si="80"/>
        <v>African American</v>
      </c>
      <c r="DK159" s="65">
        <v>34632</v>
      </c>
      <c r="DL159" s="58">
        <v>18.509999999999998</v>
      </c>
      <c r="DM159" s="58">
        <v>51.06</v>
      </c>
      <c r="DN159" s="58">
        <v>17.8</v>
      </c>
      <c r="DO159" s="58">
        <v>81.489999999999995</v>
      </c>
      <c r="DP159" s="66">
        <v>52.6</v>
      </c>
      <c r="DQ159" s="67">
        <v>52962</v>
      </c>
      <c r="DR159" s="53">
        <v>21</v>
      </c>
      <c r="DS159" s="58">
        <v>73</v>
      </c>
      <c r="DT159" s="53">
        <v>39.799999999999997</v>
      </c>
      <c r="DU159" s="55">
        <v>2.5299999999999998</v>
      </c>
      <c r="DV159" s="50">
        <v>36.200000000000003</v>
      </c>
      <c r="DW159" s="53">
        <v>80.599999999999994</v>
      </c>
      <c r="DX159" s="53">
        <v>99.54</v>
      </c>
      <c r="DY159" s="53">
        <v>55.120199999999997</v>
      </c>
      <c r="DZ159" s="63"/>
    </row>
    <row r="160" spans="1:130" s="5" customFormat="1" ht="14.25" hidden="1" customHeight="1">
      <c r="A160" s="45">
        <v>1083</v>
      </c>
      <c r="B160" s="46" t="s">
        <v>110</v>
      </c>
      <c r="C160" s="47">
        <v>2014</v>
      </c>
      <c r="D160" s="47" t="s">
        <v>38</v>
      </c>
      <c r="E160" s="46" t="s">
        <v>22</v>
      </c>
      <c r="F160" s="46">
        <v>4</v>
      </c>
      <c r="G160" s="48">
        <v>214014</v>
      </c>
      <c r="H160" s="46" t="s">
        <v>249</v>
      </c>
      <c r="I160" s="46">
        <v>1</v>
      </c>
      <c r="J160" s="46">
        <v>16</v>
      </c>
      <c r="K160" s="49" t="s">
        <v>113</v>
      </c>
      <c r="L160" s="49" t="s">
        <v>40</v>
      </c>
      <c r="M160" s="49" t="s">
        <v>35</v>
      </c>
      <c r="N160" s="49" t="s">
        <v>618</v>
      </c>
      <c r="O160" s="49">
        <v>2014</v>
      </c>
      <c r="P160" s="49" t="s">
        <v>31</v>
      </c>
      <c r="Q160" s="49" t="s">
        <v>29</v>
      </c>
      <c r="R160" s="49">
        <v>5</v>
      </c>
      <c r="S160" s="50">
        <f t="shared" si="73"/>
        <v>31.25</v>
      </c>
      <c r="T160" s="49">
        <v>8</v>
      </c>
      <c r="U160" s="50">
        <f t="shared" si="74"/>
        <v>50</v>
      </c>
      <c r="V160" s="49" t="s">
        <v>870</v>
      </c>
      <c r="W160" s="49">
        <v>1</v>
      </c>
      <c r="X160" s="50">
        <f t="shared" si="75"/>
        <v>6.25</v>
      </c>
      <c r="Y160" s="51" t="str">
        <f t="shared" si="76"/>
        <v>No</v>
      </c>
      <c r="Z160" s="49" t="s">
        <v>29</v>
      </c>
      <c r="AA160" s="49" t="s">
        <v>35</v>
      </c>
      <c r="AB160" s="45" t="s">
        <v>35</v>
      </c>
      <c r="AC160" s="46" t="s">
        <v>112</v>
      </c>
      <c r="AD160" s="46" t="s">
        <v>27</v>
      </c>
      <c r="AE160" s="46" t="s">
        <v>73</v>
      </c>
      <c r="AF160" s="46" t="s">
        <v>29</v>
      </c>
      <c r="AG160" s="103">
        <v>104834</v>
      </c>
      <c r="AH160" s="52">
        <v>102661</v>
      </c>
      <c r="AI160" s="52">
        <v>102661</v>
      </c>
      <c r="AJ160" s="102">
        <v>29.43</v>
      </c>
      <c r="AK160" s="104">
        <v>58.86</v>
      </c>
      <c r="AL160" s="102">
        <v>63.2</v>
      </c>
      <c r="AM160" s="102">
        <v>63.2</v>
      </c>
      <c r="AN160" s="53">
        <f t="shared" si="77"/>
        <v>126.4</v>
      </c>
      <c r="AO160" s="53">
        <v>15.43</v>
      </c>
      <c r="AP160" s="102">
        <v>2152</v>
      </c>
      <c r="AQ160" s="102">
        <v>2.1</v>
      </c>
      <c r="AR160" s="102">
        <v>1251</v>
      </c>
      <c r="AS160" s="102">
        <v>1.2</v>
      </c>
      <c r="AT160" s="102"/>
      <c r="AU160" s="102"/>
      <c r="AV160" s="102">
        <v>256</v>
      </c>
      <c r="AW160" s="102">
        <v>0.3</v>
      </c>
      <c r="AX160" s="102">
        <v>13602</v>
      </c>
      <c r="AY160" s="102">
        <v>13.2</v>
      </c>
      <c r="AZ160" s="102"/>
      <c r="BA160" s="102"/>
      <c r="BB160" s="102"/>
      <c r="BC160" s="102"/>
      <c r="BD160" s="102">
        <v>763</v>
      </c>
      <c r="BE160" s="102">
        <v>0.7</v>
      </c>
      <c r="BF160" s="102">
        <v>15361</v>
      </c>
      <c r="BG160" s="102">
        <v>15</v>
      </c>
      <c r="BH160" s="102">
        <v>24405</v>
      </c>
      <c r="BI160" s="102">
        <v>24</v>
      </c>
      <c r="BJ160" s="102">
        <v>12145</v>
      </c>
      <c r="BK160" s="102">
        <v>11.9</v>
      </c>
      <c r="BL160" s="102">
        <v>12260</v>
      </c>
      <c r="BM160" s="102">
        <v>12</v>
      </c>
      <c r="BN160" s="102"/>
      <c r="BO160" s="102"/>
      <c r="BP160" s="102"/>
      <c r="BQ160" s="102"/>
      <c r="BR160" s="102" t="s">
        <v>967</v>
      </c>
      <c r="BS160" s="54" t="s">
        <v>29</v>
      </c>
      <c r="BT160" s="45" t="str">
        <f>IF(J160=I160, "No", IF(AJ160/AO160&lt;2, "Yes", "No"))</f>
        <v>Yes</v>
      </c>
      <c r="BU160" s="45" t="str">
        <f>IF(J160=I160, "No", IF(AJ160/AO160&lt;1.5, "Yes", "No"))</f>
        <v>No</v>
      </c>
      <c r="BV160" s="45" t="str">
        <f>IF(J160=I160, "No", IF((ABS(AJ160-AO160))&lt;(5/I160), "Yes", "No"))</f>
        <v>No</v>
      </c>
      <c r="BW160" s="55">
        <f t="shared" si="72"/>
        <v>93.761163643813333</v>
      </c>
      <c r="BX160" s="55">
        <f>(146454/(146454+9745))*100</f>
        <v>93.761163643813333</v>
      </c>
      <c r="BY160" s="55">
        <v>91.831163643813341</v>
      </c>
      <c r="BZ160" s="55">
        <f>BX160-(0.0386*100/2)</f>
        <v>91.831163643813326</v>
      </c>
      <c r="CA160" s="45">
        <v>2012</v>
      </c>
      <c r="CB160" s="55">
        <f t="shared" si="78"/>
        <v>39.076202801461633</v>
      </c>
      <c r="CC160" s="46" t="s">
        <v>490</v>
      </c>
      <c r="CD160" s="46" t="s">
        <v>71</v>
      </c>
      <c r="CE160" s="46" t="s">
        <v>783</v>
      </c>
      <c r="CF160" s="46">
        <v>1</v>
      </c>
      <c r="CG160" s="46" t="str">
        <f t="shared" si="79"/>
        <v>No</v>
      </c>
      <c r="CH160" s="46" t="s">
        <v>35</v>
      </c>
      <c r="CI160" s="56">
        <v>300</v>
      </c>
      <c r="CJ160" s="46">
        <v>50</v>
      </c>
      <c r="CK160" s="46" t="s">
        <v>23</v>
      </c>
      <c r="CL160" s="49" t="s">
        <v>29</v>
      </c>
      <c r="CM160" s="50">
        <v>0</v>
      </c>
      <c r="CN160" s="50">
        <v>2095100.06</v>
      </c>
      <c r="CO160" s="50" t="s">
        <v>35</v>
      </c>
      <c r="CP160" s="46" t="s">
        <v>23</v>
      </c>
      <c r="CQ160" s="46" t="s">
        <v>23</v>
      </c>
      <c r="CR160" s="46">
        <v>7</v>
      </c>
      <c r="CS160" s="46" t="s">
        <v>855</v>
      </c>
      <c r="CT160" s="46" t="s">
        <v>53</v>
      </c>
      <c r="CU160" s="46" t="s">
        <v>74</v>
      </c>
      <c r="CV160" s="46" t="s">
        <v>23</v>
      </c>
      <c r="CW160" s="46">
        <v>2</v>
      </c>
      <c r="CX160" s="49" t="s">
        <v>562</v>
      </c>
      <c r="CY160" s="49" t="s">
        <v>36</v>
      </c>
      <c r="CZ160" s="49">
        <v>1</v>
      </c>
      <c r="DA160" s="49">
        <v>1</v>
      </c>
      <c r="DB160" s="57">
        <v>262720</v>
      </c>
      <c r="DC160" s="58">
        <v>34.276035322777098</v>
      </c>
      <c r="DD160" s="58">
        <v>30.334576735688184</v>
      </c>
      <c r="DE160" s="58">
        <v>14.151948842874543</v>
      </c>
      <c r="DF160" s="58">
        <v>16.502359926918391</v>
      </c>
      <c r="DG160" s="58">
        <v>4.7350791717417851</v>
      </c>
      <c r="DH160" s="58">
        <v>65.723964677222895</v>
      </c>
      <c r="DI160" s="45" t="s">
        <v>35</v>
      </c>
      <c r="DJ160" s="59" t="str">
        <f t="shared" si="80"/>
        <v>No single majority group</v>
      </c>
      <c r="DK160" s="60">
        <v>262720</v>
      </c>
      <c r="DL160" s="58">
        <v>34.276035322777098</v>
      </c>
      <c r="DM160" s="58">
        <v>30.334576735688184</v>
      </c>
      <c r="DN160" s="58">
        <v>14.151948842874543</v>
      </c>
      <c r="DO160" s="58">
        <v>65.723964677222895</v>
      </c>
      <c r="DP160" s="66">
        <v>52.6</v>
      </c>
      <c r="DQ160" s="67">
        <v>52962</v>
      </c>
      <c r="DR160" s="53">
        <v>21</v>
      </c>
      <c r="DS160" s="58">
        <v>73</v>
      </c>
      <c r="DT160" s="53">
        <v>39.799999999999997</v>
      </c>
      <c r="DU160" s="55">
        <v>2.5299999999999998</v>
      </c>
      <c r="DV160" s="50">
        <v>36.200000000000003</v>
      </c>
      <c r="DW160" s="53">
        <v>80.599999999999994</v>
      </c>
      <c r="DX160" s="53">
        <v>99.54</v>
      </c>
      <c r="DY160" s="53">
        <v>55.120199999999997</v>
      </c>
      <c r="DZ160" s="63"/>
    </row>
    <row r="161" spans="1:130" s="5" customFormat="1" ht="14.25" hidden="1" customHeight="1">
      <c r="A161" s="45">
        <v>1085</v>
      </c>
      <c r="B161" s="46" t="s">
        <v>110</v>
      </c>
      <c r="C161" s="47">
        <v>2014</v>
      </c>
      <c r="D161" s="47" t="s">
        <v>116</v>
      </c>
      <c r="E161" s="46" t="s">
        <v>92</v>
      </c>
      <c r="F161" s="46">
        <v>4</v>
      </c>
      <c r="G161" s="48">
        <v>10000</v>
      </c>
      <c r="H161" s="46" t="s">
        <v>332</v>
      </c>
      <c r="I161" s="46">
        <v>1</v>
      </c>
      <c r="J161" s="46">
        <v>2</v>
      </c>
      <c r="K161" s="49" t="s">
        <v>117</v>
      </c>
      <c r="L161" s="49" t="s">
        <v>40</v>
      </c>
      <c r="M161" s="49" t="s">
        <v>35</v>
      </c>
      <c r="N161" s="49" t="s">
        <v>512</v>
      </c>
      <c r="O161" s="49">
        <v>2014</v>
      </c>
      <c r="P161" s="49" t="s">
        <v>34</v>
      </c>
      <c r="Q161" s="49" t="s">
        <v>35</v>
      </c>
      <c r="R161" s="49">
        <v>1</v>
      </c>
      <c r="S161" s="50">
        <f t="shared" si="73"/>
        <v>50</v>
      </c>
      <c r="T161" s="49">
        <v>1</v>
      </c>
      <c r="U161" s="50">
        <f t="shared" si="74"/>
        <v>50</v>
      </c>
      <c r="V161" s="49" t="s">
        <v>173</v>
      </c>
      <c r="W161" s="49">
        <v>1</v>
      </c>
      <c r="X161" s="50">
        <f t="shared" si="75"/>
        <v>50</v>
      </c>
      <c r="Y161" s="51" t="str">
        <f t="shared" si="76"/>
        <v>Yes</v>
      </c>
      <c r="Z161" s="45"/>
      <c r="AA161" s="45"/>
      <c r="AB161" s="45"/>
      <c r="AC161" s="46" t="s">
        <v>72</v>
      </c>
      <c r="AD161" s="46" t="s">
        <v>27</v>
      </c>
      <c r="AE161" s="46" t="s">
        <v>73</v>
      </c>
      <c r="AF161" s="46" t="s">
        <v>29</v>
      </c>
      <c r="AG161" s="103">
        <v>15293</v>
      </c>
      <c r="AH161" s="52">
        <v>11752</v>
      </c>
      <c r="AI161" s="52">
        <v>11752</v>
      </c>
      <c r="AJ161" s="102">
        <v>76.06</v>
      </c>
      <c r="AK161" s="104">
        <v>150.88</v>
      </c>
      <c r="AL161" s="102">
        <v>76.06</v>
      </c>
      <c r="AM161" s="102">
        <v>76.06</v>
      </c>
      <c r="AN161" s="53">
        <f t="shared" si="77"/>
        <v>152.12</v>
      </c>
      <c r="AO161" s="53"/>
      <c r="AP161" s="102">
        <v>3566</v>
      </c>
      <c r="AQ161" s="102">
        <v>23.317857843457791</v>
      </c>
      <c r="AR161" s="50">
        <v>17</v>
      </c>
      <c r="AS161" s="50">
        <f>AR161/AI161 *100</f>
        <v>0.14465622872702519</v>
      </c>
      <c r="AT161" s="102"/>
      <c r="AU161" s="102"/>
      <c r="AV161" s="50">
        <v>17</v>
      </c>
      <c r="AW161" s="50">
        <v>0.14465622872702519</v>
      </c>
      <c r="AX161" s="50"/>
      <c r="AY161" s="50"/>
      <c r="AZ161" s="102"/>
      <c r="BA161" s="102"/>
      <c r="BB161" s="102"/>
      <c r="BC161" s="102"/>
      <c r="BD161" s="50"/>
      <c r="BE161" s="50"/>
      <c r="BF161" s="50"/>
      <c r="BG161" s="50"/>
      <c r="BH161" s="102"/>
      <c r="BI161" s="102"/>
      <c r="BJ161" s="50"/>
      <c r="BK161" s="50"/>
      <c r="BL161" s="50"/>
      <c r="BM161" s="50"/>
      <c r="BN161" s="102"/>
      <c r="BO161" s="50"/>
      <c r="BP161" s="50"/>
      <c r="BQ161" s="50"/>
      <c r="BR161" s="102" t="s">
        <v>967</v>
      </c>
      <c r="BS161" s="54"/>
      <c r="BT161" s="45"/>
      <c r="BU161" s="45"/>
      <c r="BV161" s="45"/>
      <c r="BW161" s="55">
        <f t="shared" si="72"/>
        <v>93.761163643813333</v>
      </c>
      <c r="BX161" s="55"/>
      <c r="BY161" s="55">
        <v>91.831163643813341</v>
      </c>
      <c r="BZ161" s="55"/>
      <c r="CA161" s="45">
        <v>2012</v>
      </c>
      <c r="CB161" s="55">
        <f t="shared" si="78"/>
        <v>29.621414528406515</v>
      </c>
      <c r="CC161" s="46" t="s">
        <v>490</v>
      </c>
      <c r="CD161" s="46" t="s">
        <v>71</v>
      </c>
      <c r="CE161" s="46" t="s">
        <v>783</v>
      </c>
      <c r="CF161" s="46">
        <v>1</v>
      </c>
      <c r="CG161" s="46" t="str">
        <f t="shared" si="79"/>
        <v>No</v>
      </c>
      <c r="CH161" s="46" t="s">
        <v>29</v>
      </c>
      <c r="CI161" s="56">
        <v>300</v>
      </c>
      <c r="CJ161" s="46">
        <v>50</v>
      </c>
      <c r="CK161" s="46" t="s">
        <v>23</v>
      </c>
      <c r="CL161" s="49" t="s">
        <v>29</v>
      </c>
      <c r="CM161" s="50">
        <v>0</v>
      </c>
      <c r="CN161" s="50"/>
      <c r="CO161" s="50"/>
      <c r="CP161" s="46" t="s">
        <v>23</v>
      </c>
      <c r="CQ161" s="46" t="s">
        <v>24</v>
      </c>
      <c r="CR161" s="46">
        <v>7</v>
      </c>
      <c r="CS161" s="46" t="s">
        <v>855</v>
      </c>
      <c r="CT161" s="46" t="s">
        <v>856</v>
      </c>
      <c r="CU161" s="46" t="s">
        <v>74</v>
      </c>
      <c r="CV161" s="46" t="s">
        <v>23</v>
      </c>
      <c r="CW161" s="46">
        <v>2</v>
      </c>
      <c r="CX161" s="49" t="s">
        <v>562</v>
      </c>
      <c r="CY161" s="49" t="s">
        <v>36</v>
      </c>
      <c r="CZ161" s="49">
        <v>1</v>
      </c>
      <c r="DA161" s="49">
        <v>1</v>
      </c>
      <c r="DB161" s="64">
        <v>39674</v>
      </c>
      <c r="DC161" s="58">
        <v>34.479999999999997</v>
      </c>
      <c r="DD161" s="58">
        <v>20.239999999999998</v>
      </c>
      <c r="DE161" s="58">
        <v>9.7199999999999989</v>
      </c>
      <c r="DF161" s="58">
        <v>30.95</v>
      </c>
      <c r="DG161" s="58">
        <v>4.6100720875132328</v>
      </c>
      <c r="DH161" s="58">
        <v>65.52</v>
      </c>
      <c r="DI161" s="45" t="s">
        <v>35</v>
      </c>
      <c r="DJ161" s="59" t="str">
        <f t="shared" si="80"/>
        <v>No single majority group</v>
      </c>
      <c r="DK161" s="65">
        <v>39674</v>
      </c>
      <c r="DL161" s="58">
        <v>34.479999999999997</v>
      </c>
      <c r="DM161" s="58">
        <v>20.239999999999998</v>
      </c>
      <c r="DN161" s="58">
        <v>9.7199999999999989</v>
      </c>
      <c r="DO161" s="58">
        <v>65.52</v>
      </c>
      <c r="DP161" s="66">
        <v>52.6</v>
      </c>
      <c r="DQ161" s="67">
        <v>52962</v>
      </c>
      <c r="DR161" s="53">
        <v>21</v>
      </c>
      <c r="DS161" s="58">
        <v>73</v>
      </c>
      <c r="DT161" s="53">
        <v>39.799999999999997</v>
      </c>
      <c r="DU161" s="55">
        <v>2.5299999999999998</v>
      </c>
      <c r="DV161" s="50">
        <v>36.200000000000003</v>
      </c>
      <c r="DW161" s="53">
        <v>80.599999999999994</v>
      </c>
      <c r="DX161" s="53">
        <v>99.54</v>
      </c>
      <c r="DY161" s="53">
        <v>55.120199999999997</v>
      </c>
      <c r="DZ161" s="63"/>
    </row>
    <row r="162" spans="1:130" s="5" customFormat="1" ht="14.25" hidden="1" customHeight="1">
      <c r="A162" s="45">
        <v>1087</v>
      </c>
      <c r="B162" s="46" t="s">
        <v>110</v>
      </c>
      <c r="C162" s="47">
        <v>2014</v>
      </c>
      <c r="D162" s="47" t="s">
        <v>119</v>
      </c>
      <c r="E162" s="46" t="s">
        <v>80</v>
      </c>
      <c r="F162" s="46">
        <v>4</v>
      </c>
      <c r="G162" s="48">
        <v>10000</v>
      </c>
      <c r="H162" s="46" t="s">
        <v>332</v>
      </c>
      <c r="I162" s="46">
        <v>1</v>
      </c>
      <c r="J162" s="46">
        <v>4</v>
      </c>
      <c r="K162" s="49" t="s">
        <v>120</v>
      </c>
      <c r="L162" s="49" t="s">
        <v>40</v>
      </c>
      <c r="M162" s="49" t="s">
        <v>35</v>
      </c>
      <c r="N162" s="49" t="s">
        <v>512</v>
      </c>
      <c r="O162" s="49">
        <v>2014</v>
      </c>
      <c r="P162" s="49" t="s">
        <v>912</v>
      </c>
      <c r="Q162" s="49" t="s">
        <v>35</v>
      </c>
      <c r="R162" s="49">
        <v>2</v>
      </c>
      <c r="S162" s="50">
        <f t="shared" si="73"/>
        <v>50</v>
      </c>
      <c r="T162" s="49">
        <v>4</v>
      </c>
      <c r="U162" s="50">
        <f t="shared" si="74"/>
        <v>100</v>
      </c>
      <c r="V162" s="49" t="s">
        <v>871</v>
      </c>
      <c r="W162" s="49">
        <v>2</v>
      </c>
      <c r="X162" s="50">
        <f t="shared" si="75"/>
        <v>50</v>
      </c>
      <c r="Y162" s="51" t="str">
        <f t="shared" si="76"/>
        <v>Yes</v>
      </c>
      <c r="Z162" s="45"/>
      <c r="AA162" s="45"/>
      <c r="AB162" s="45"/>
      <c r="AC162" s="46" t="s">
        <v>87</v>
      </c>
      <c r="AD162" s="46" t="s">
        <v>27</v>
      </c>
      <c r="AE162" s="46" t="s">
        <v>73</v>
      </c>
      <c r="AF162" s="46" t="s">
        <v>29</v>
      </c>
      <c r="AG162" s="103">
        <v>20018</v>
      </c>
      <c r="AH162" s="52">
        <v>16140</v>
      </c>
      <c r="AI162" s="52">
        <v>16140</v>
      </c>
      <c r="AJ162" s="102">
        <v>38.4</v>
      </c>
      <c r="AK162" s="104">
        <v>76.8</v>
      </c>
      <c r="AL162" s="102">
        <v>52.41</v>
      </c>
      <c r="AM162" s="102">
        <v>52.41</v>
      </c>
      <c r="AN162" s="53">
        <f t="shared" si="77"/>
        <v>104.82</v>
      </c>
      <c r="AO162" s="53">
        <v>33</v>
      </c>
      <c r="AP162" s="102">
        <v>3866</v>
      </c>
      <c r="AQ162" s="102">
        <v>19.3</v>
      </c>
      <c r="AR162" s="50">
        <v>61</v>
      </c>
      <c r="AS162" s="102">
        <v>0.4</v>
      </c>
      <c r="AT162" s="102"/>
      <c r="AU162" s="102"/>
      <c r="AV162" s="102">
        <v>9</v>
      </c>
      <c r="AW162" s="102">
        <v>0.1</v>
      </c>
      <c r="AX162" s="50">
        <v>2310</v>
      </c>
      <c r="AY162" s="50">
        <v>14.3</v>
      </c>
      <c r="AZ162" s="102"/>
      <c r="BA162" s="102"/>
      <c r="BB162" s="102"/>
      <c r="BC162" s="102"/>
      <c r="BD162" s="50">
        <v>119</v>
      </c>
      <c r="BE162" s="50">
        <v>0.7</v>
      </c>
      <c r="BF162" s="50">
        <v>2455</v>
      </c>
      <c r="BG162" s="50">
        <v>15.2</v>
      </c>
      <c r="BH162" s="102">
        <v>1225</v>
      </c>
      <c r="BI162" s="102">
        <v>7.6</v>
      </c>
      <c r="BJ162" s="102">
        <v>0</v>
      </c>
      <c r="BK162" s="102">
        <v>0</v>
      </c>
      <c r="BL162" s="102">
        <v>1225</v>
      </c>
      <c r="BM162" s="102">
        <v>7.6</v>
      </c>
      <c r="BN162" s="102"/>
      <c r="BO162" s="50"/>
      <c r="BP162" s="50"/>
      <c r="BQ162" s="50"/>
      <c r="BR162" s="102" t="s">
        <v>967</v>
      </c>
      <c r="BS162" s="54" t="s">
        <v>29</v>
      </c>
      <c r="BT162" s="45" t="str">
        <f>IF(J162=I162, "No", IF(AJ162/AO162&lt;2, "Yes", "No"))</f>
        <v>Yes</v>
      </c>
      <c r="BU162" s="45" t="str">
        <f>IF(J162=I162, "No", IF(AJ162/AO162&lt;1.5, "Yes", "No"))</f>
        <v>Yes</v>
      </c>
      <c r="BV162" s="45" t="str">
        <f>IF(J162=I162, "No", IF((ABS(AJ162-AO162))&lt;(5/I162), "Yes", "No"))</f>
        <v>No</v>
      </c>
      <c r="BW162" s="55">
        <f t="shared" si="72"/>
        <v>93.761163643813333</v>
      </c>
      <c r="BX162" s="55"/>
      <c r="BY162" s="55">
        <v>91.831163643813341</v>
      </c>
      <c r="BZ162" s="55"/>
      <c r="CA162" s="45">
        <v>2012</v>
      </c>
      <c r="CB162" s="55">
        <f t="shared" si="78"/>
        <v>44.155062511968922</v>
      </c>
      <c r="CC162" s="46" t="s">
        <v>490</v>
      </c>
      <c r="CD162" s="46" t="s">
        <v>71</v>
      </c>
      <c r="CE162" s="46" t="s">
        <v>783</v>
      </c>
      <c r="CF162" s="46">
        <v>1</v>
      </c>
      <c r="CG162" s="46" t="str">
        <f t="shared" si="79"/>
        <v>No</v>
      </c>
      <c r="CH162" s="46" t="s">
        <v>29</v>
      </c>
      <c r="CI162" s="56">
        <v>300</v>
      </c>
      <c r="CJ162" s="46">
        <v>50</v>
      </c>
      <c r="CK162" s="46" t="s">
        <v>23</v>
      </c>
      <c r="CL162" s="49" t="s">
        <v>29</v>
      </c>
      <c r="CM162" s="50">
        <v>0</v>
      </c>
      <c r="CN162" s="50"/>
      <c r="CO162" s="50"/>
      <c r="CP162" s="46" t="s">
        <v>23</v>
      </c>
      <c r="CQ162" s="46" t="s">
        <v>24</v>
      </c>
      <c r="CR162" s="46">
        <v>7</v>
      </c>
      <c r="CS162" s="46" t="s">
        <v>855</v>
      </c>
      <c r="CT162" s="46" t="s">
        <v>856</v>
      </c>
      <c r="CU162" s="46" t="s">
        <v>74</v>
      </c>
      <c r="CV162" s="46" t="s">
        <v>23</v>
      </c>
      <c r="CW162" s="46">
        <v>2</v>
      </c>
      <c r="CX162" s="49" t="s">
        <v>562</v>
      </c>
      <c r="CY162" s="49" t="s">
        <v>36</v>
      </c>
      <c r="CZ162" s="49">
        <v>1</v>
      </c>
      <c r="DA162" s="49">
        <v>1</v>
      </c>
      <c r="DB162" s="64">
        <v>36553</v>
      </c>
      <c r="DC162" s="58">
        <v>49.82</v>
      </c>
      <c r="DD162" s="58">
        <v>18.05</v>
      </c>
      <c r="DE162" s="58">
        <v>9.0300000000000011</v>
      </c>
      <c r="DF162" s="58">
        <v>18.790000000000003</v>
      </c>
      <c r="DG162" s="58">
        <v>4.2650398052143466</v>
      </c>
      <c r="DH162" s="58">
        <v>50.18</v>
      </c>
      <c r="DI162" s="45" t="s">
        <v>35</v>
      </c>
      <c r="DJ162" s="59" t="str">
        <f t="shared" si="80"/>
        <v>No single majority group</v>
      </c>
      <c r="DK162" s="65">
        <v>36553</v>
      </c>
      <c r="DL162" s="58">
        <v>49.82</v>
      </c>
      <c r="DM162" s="58">
        <v>18.05</v>
      </c>
      <c r="DN162" s="58">
        <v>9.0300000000000011</v>
      </c>
      <c r="DO162" s="58">
        <v>50.18</v>
      </c>
      <c r="DP162" s="66">
        <v>52.6</v>
      </c>
      <c r="DQ162" s="67">
        <v>52962</v>
      </c>
      <c r="DR162" s="53">
        <v>21</v>
      </c>
      <c r="DS162" s="58">
        <v>73</v>
      </c>
      <c r="DT162" s="53">
        <v>39.799999999999997</v>
      </c>
      <c r="DU162" s="55">
        <v>2.5299999999999998</v>
      </c>
      <c r="DV162" s="50">
        <v>36.200000000000003</v>
      </c>
      <c r="DW162" s="53">
        <v>80.599999999999994</v>
      </c>
      <c r="DX162" s="53">
        <v>99.54</v>
      </c>
      <c r="DY162" s="53">
        <v>55.120199999999997</v>
      </c>
      <c r="DZ162" s="63"/>
    </row>
    <row r="163" spans="1:130" s="5" customFormat="1" ht="14.25" hidden="1" customHeight="1">
      <c r="A163" s="45">
        <v>1089</v>
      </c>
      <c r="B163" s="46" t="s">
        <v>110</v>
      </c>
      <c r="C163" s="47">
        <v>2014</v>
      </c>
      <c r="D163" s="47" t="s">
        <v>122</v>
      </c>
      <c r="E163" s="71" t="s">
        <v>101</v>
      </c>
      <c r="F163" s="46">
        <v>4</v>
      </c>
      <c r="G163" s="48">
        <v>10000</v>
      </c>
      <c r="H163" s="46" t="s">
        <v>332</v>
      </c>
      <c r="I163" s="46">
        <v>1</v>
      </c>
      <c r="J163" s="46">
        <v>2</v>
      </c>
      <c r="K163" s="49" t="s">
        <v>123</v>
      </c>
      <c r="L163" s="49" t="s">
        <v>40</v>
      </c>
      <c r="M163" s="49" t="s">
        <v>35</v>
      </c>
      <c r="N163" s="49" t="s">
        <v>512</v>
      </c>
      <c r="O163" s="49">
        <v>2014</v>
      </c>
      <c r="P163" s="49" t="s">
        <v>857</v>
      </c>
      <c r="Q163" s="49" t="s">
        <v>35</v>
      </c>
      <c r="R163" s="49">
        <v>1</v>
      </c>
      <c r="S163" s="50">
        <f t="shared" si="73"/>
        <v>50</v>
      </c>
      <c r="T163" s="49">
        <v>2</v>
      </c>
      <c r="U163" s="50">
        <f t="shared" si="74"/>
        <v>100</v>
      </c>
      <c r="V163" s="49" t="s">
        <v>794</v>
      </c>
      <c r="W163" s="49">
        <v>1</v>
      </c>
      <c r="X163" s="50">
        <f t="shared" si="75"/>
        <v>50</v>
      </c>
      <c r="Y163" s="51" t="str">
        <f t="shared" si="76"/>
        <v>Yes</v>
      </c>
      <c r="Z163" s="45"/>
      <c r="AA163" s="45"/>
      <c r="AB163" s="45"/>
      <c r="AC163" s="46" t="s">
        <v>72</v>
      </c>
      <c r="AD163" s="46" t="s">
        <v>27</v>
      </c>
      <c r="AE163" s="46" t="s">
        <v>73</v>
      </c>
      <c r="AF163" s="46" t="s">
        <v>29</v>
      </c>
      <c r="AG163" s="103">
        <v>12377</v>
      </c>
      <c r="AH163" s="52">
        <v>10413</v>
      </c>
      <c r="AI163" s="52">
        <v>10413</v>
      </c>
      <c r="AJ163" s="102">
        <v>58.53</v>
      </c>
      <c r="AK163" s="104">
        <v>116.04</v>
      </c>
      <c r="AL163" s="102">
        <v>58.53</v>
      </c>
      <c r="AM163" s="102">
        <v>58.53</v>
      </c>
      <c r="AN163" s="53">
        <f t="shared" si="77"/>
        <v>117.06</v>
      </c>
      <c r="AO163" s="53"/>
      <c r="AP163" s="102">
        <v>1973</v>
      </c>
      <c r="AQ163" s="102">
        <v>15.940858043144543</v>
      </c>
      <c r="AR163" s="50">
        <v>20</v>
      </c>
      <c r="AS163" s="50">
        <f>AR163/AI163 *100</f>
        <v>0.19206760779794488</v>
      </c>
      <c r="AT163" s="102"/>
      <c r="AU163" s="102"/>
      <c r="AV163" s="50"/>
      <c r="AW163" s="50"/>
      <c r="AX163" s="50"/>
      <c r="AY163" s="50"/>
      <c r="AZ163" s="102"/>
      <c r="BA163" s="102"/>
      <c r="BB163" s="102"/>
      <c r="BC163" s="102"/>
      <c r="BD163" s="50"/>
      <c r="BE163" s="50"/>
      <c r="BF163" s="50"/>
      <c r="BG163" s="50"/>
      <c r="BH163" s="102"/>
      <c r="BI163" s="102"/>
      <c r="BJ163" s="50"/>
      <c r="BK163" s="50"/>
      <c r="BL163" s="50"/>
      <c r="BM163" s="50"/>
      <c r="BN163" s="102"/>
      <c r="BO163" s="50"/>
      <c r="BP163" s="50"/>
      <c r="BQ163" s="50"/>
      <c r="BR163" s="102"/>
      <c r="BS163" s="54"/>
      <c r="BT163" s="45"/>
      <c r="BU163" s="45"/>
      <c r="BV163" s="45"/>
      <c r="BW163" s="55">
        <f t="shared" si="72"/>
        <v>93.761163643813333</v>
      </c>
      <c r="BX163" s="55"/>
      <c r="BY163" s="55">
        <v>91.831163643813341</v>
      </c>
      <c r="BZ163" s="55"/>
      <c r="CA163" s="45">
        <v>2012</v>
      </c>
      <c r="CB163" s="55">
        <f t="shared" si="78"/>
        <v>30.067567567567565</v>
      </c>
      <c r="CC163" s="46" t="s">
        <v>490</v>
      </c>
      <c r="CD163" s="46" t="s">
        <v>71</v>
      </c>
      <c r="CE163" s="46" t="s">
        <v>783</v>
      </c>
      <c r="CF163" s="46">
        <v>1</v>
      </c>
      <c r="CG163" s="46" t="str">
        <f t="shared" si="79"/>
        <v>No</v>
      </c>
      <c r="CH163" s="46" t="s">
        <v>29</v>
      </c>
      <c r="CI163" s="56">
        <v>300</v>
      </c>
      <c r="CJ163" s="46">
        <v>50</v>
      </c>
      <c r="CK163" s="46" t="s">
        <v>23</v>
      </c>
      <c r="CL163" s="49" t="s">
        <v>29</v>
      </c>
      <c r="CM163" s="50">
        <v>0</v>
      </c>
      <c r="CN163" s="50"/>
      <c r="CO163" s="50"/>
      <c r="CP163" s="46" t="s">
        <v>23</v>
      </c>
      <c r="CQ163" s="46" t="s">
        <v>24</v>
      </c>
      <c r="CR163" s="46">
        <v>7</v>
      </c>
      <c r="CS163" s="46" t="s">
        <v>855</v>
      </c>
      <c r="CT163" s="46" t="s">
        <v>856</v>
      </c>
      <c r="CU163" s="46" t="s">
        <v>74</v>
      </c>
      <c r="CV163" s="46" t="s">
        <v>23</v>
      </c>
      <c r="CW163" s="46">
        <v>2</v>
      </c>
      <c r="CX163" s="49" t="s">
        <v>562</v>
      </c>
      <c r="CY163" s="49" t="s">
        <v>36</v>
      </c>
      <c r="CZ163" s="49">
        <v>1</v>
      </c>
      <c r="DA163" s="49">
        <v>1</v>
      </c>
      <c r="DB163" s="64">
        <v>34632</v>
      </c>
      <c r="DC163" s="58">
        <v>18.509999999999998</v>
      </c>
      <c r="DD163" s="58">
        <v>51.06</v>
      </c>
      <c r="DE163" s="58">
        <v>17.8</v>
      </c>
      <c r="DF163" s="58">
        <v>8.18</v>
      </c>
      <c r="DG163" s="58">
        <v>4.4467544467544462</v>
      </c>
      <c r="DH163" s="58">
        <v>81.489999999999995</v>
      </c>
      <c r="DI163" s="45" t="s">
        <v>35</v>
      </c>
      <c r="DJ163" s="59" t="str">
        <f t="shared" si="80"/>
        <v>African American</v>
      </c>
      <c r="DK163" s="65">
        <v>34632</v>
      </c>
      <c r="DL163" s="58">
        <v>18.509999999999998</v>
      </c>
      <c r="DM163" s="58">
        <v>51.06</v>
      </c>
      <c r="DN163" s="58">
        <v>17.8</v>
      </c>
      <c r="DO163" s="58">
        <v>81.489999999999995</v>
      </c>
      <c r="DP163" s="66">
        <v>52.6</v>
      </c>
      <c r="DQ163" s="67">
        <v>52962</v>
      </c>
      <c r="DR163" s="53">
        <v>21</v>
      </c>
      <c r="DS163" s="58">
        <v>73</v>
      </c>
      <c r="DT163" s="53">
        <v>39.799999999999997</v>
      </c>
      <c r="DU163" s="55">
        <v>2.5299999999999998</v>
      </c>
      <c r="DV163" s="50">
        <v>36.200000000000003</v>
      </c>
      <c r="DW163" s="53">
        <v>80.599999999999994</v>
      </c>
      <c r="DX163" s="53">
        <v>99.54</v>
      </c>
      <c r="DY163" s="53">
        <v>55.120199999999997</v>
      </c>
      <c r="DZ163" s="63"/>
    </row>
    <row r="164" spans="1:130" s="5" customFormat="1" ht="14.25" hidden="1" customHeight="1">
      <c r="A164" s="45">
        <v>2021</v>
      </c>
      <c r="B164" s="46" t="s">
        <v>110</v>
      </c>
      <c r="C164" s="47">
        <v>2016</v>
      </c>
      <c r="D164" s="47" t="s">
        <v>124</v>
      </c>
      <c r="E164" s="46" t="s">
        <v>22</v>
      </c>
      <c r="F164" s="46">
        <v>4</v>
      </c>
      <c r="G164" s="34"/>
      <c r="H164" s="179"/>
      <c r="I164" s="46">
        <v>1</v>
      </c>
      <c r="J164" s="46">
        <v>1</v>
      </c>
      <c r="K164" s="49" t="s">
        <v>125</v>
      </c>
      <c r="L164" s="63" t="s">
        <v>40</v>
      </c>
      <c r="M164" s="63" t="s">
        <v>35</v>
      </c>
      <c r="N164" s="63" t="s">
        <v>513</v>
      </c>
      <c r="O164" s="63">
        <v>2012</v>
      </c>
      <c r="P164" s="63" t="s">
        <v>201</v>
      </c>
      <c r="Q164" s="63" t="s">
        <v>35</v>
      </c>
      <c r="R164" s="49">
        <v>1</v>
      </c>
      <c r="S164" s="179">
        <v>100</v>
      </c>
      <c r="T164" s="63">
        <v>1</v>
      </c>
      <c r="U164" s="63">
        <v>100</v>
      </c>
      <c r="V164" s="179" t="s">
        <v>858</v>
      </c>
      <c r="W164" s="179">
        <v>1</v>
      </c>
      <c r="X164" s="179">
        <v>100</v>
      </c>
      <c r="Y164" s="179" t="s">
        <v>35</v>
      </c>
      <c r="Z164" s="179" t="s">
        <v>29</v>
      </c>
      <c r="AA164" s="179" t="s">
        <v>35</v>
      </c>
      <c r="AB164" s="179" t="s">
        <v>35</v>
      </c>
      <c r="AC164" s="46" t="s">
        <v>72</v>
      </c>
      <c r="AD164" s="46" t="s">
        <v>27</v>
      </c>
      <c r="AE164" s="46" t="s">
        <v>89</v>
      </c>
      <c r="AF164" s="46" t="s">
        <v>29</v>
      </c>
      <c r="AG164" s="52">
        <v>177631</v>
      </c>
      <c r="AH164" s="52">
        <v>128029</v>
      </c>
      <c r="AI164" s="52">
        <v>128029</v>
      </c>
      <c r="AJ164" s="52">
        <v>100</v>
      </c>
      <c r="AK164" s="174">
        <v>200</v>
      </c>
      <c r="AL164" s="52">
        <v>100</v>
      </c>
      <c r="AM164" s="52" t="s">
        <v>23</v>
      </c>
      <c r="AN164" s="179"/>
      <c r="AO164" s="179"/>
      <c r="AP164" s="177">
        <v>49454</v>
      </c>
      <c r="AQ164" s="180">
        <v>27.840861110954734</v>
      </c>
      <c r="AR164" s="50">
        <v>185</v>
      </c>
      <c r="AS164" s="50">
        <v>0.1</v>
      </c>
      <c r="AT164" s="102"/>
      <c r="AU164" s="102"/>
      <c r="AV164" s="179"/>
      <c r="AW164" s="179"/>
      <c r="AX164" s="177">
        <v>58230</v>
      </c>
      <c r="AY164" s="50">
        <v>45.4</v>
      </c>
      <c r="AZ164" s="177">
        <v>53961</v>
      </c>
      <c r="BA164" s="102">
        <v>42.1</v>
      </c>
      <c r="BB164" s="102">
        <v>4269</v>
      </c>
      <c r="BC164" s="102">
        <v>3.3</v>
      </c>
      <c r="BD164" s="50">
        <v>3924</v>
      </c>
      <c r="BE164" s="50">
        <v>3.1</v>
      </c>
      <c r="BF164" s="50">
        <v>60882</v>
      </c>
      <c r="BG164" s="50">
        <v>47.5</v>
      </c>
      <c r="BH164" s="177"/>
      <c r="BI164" s="179"/>
      <c r="BJ164" s="179"/>
      <c r="BK164" s="179"/>
      <c r="BL164" s="179"/>
      <c r="BM164" s="179"/>
      <c r="BN164" s="108"/>
      <c r="BO164" s="179"/>
      <c r="BP164" s="179"/>
      <c r="BQ164" s="179"/>
      <c r="BR164" s="92" t="s">
        <v>967</v>
      </c>
      <c r="BS164" s="179"/>
      <c r="BT164" s="179"/>
      <c r="BU164" s="179"/>
      <c r="BV164" s="179"/>
      <c r="BW164" s="179"/>
      <c r="BX164" s="179"/>
      <c r="BY164" s="179"/>
      <c r="BZ164" s="179"/>
      <c r="CA164" s="179"/>
      <c r="CB164" s="179"/>
      <c r="CC164" s="46" t="s">
        <v>490</v>
      </c>
      <c r="CD164" s="46" t="s">
        <v>71</v>
      </c>
      <c r="CE164" s="46" t="s">
        <v>783</v>
      </c>
      <c r="CF164" s="46">
        <v>1</v>
      </c>
      <c r="CG164" s="179"/>
      <c r="CH164" s="179"/>
      <c r="CI164" s="179"/>
      <c r="CJ164" s="179"/>
      <c r="CK164" s="179"/>
      <c r="CL164" s="179"/>
      <c r="CM164" s="179"/>
      <c r="CN164" s="179"/>
      <c r="CO164" s="179"/>
      <c r="CP164" s="179"/>
      <c r="CQ164" s="179"/>
      <c r="CR164" s="179"/>
      <c r="CS164" s="179"/>
      <c r="CT164" s="179"/>
      <c r="CU164" s="179"/>
      <c r="CV164" s="179"/>
      <c r="CW164" s="179"/>
      <c r="CX164" s="179"/>
      <c r="CY164" s="179"/>
      <c r="CZ164" s="179"/>
      <c r="DA164" s="179"/>
      <c r="DB164" s="179"/>
      <c r="DC164" s="179"/>
      <c r="DD164" s="179"/>
      <c r="DE164" s="179"/>
      <c r="DF164" s="179"/>
      <c r="DG164" s="179"/>
      <c r="DH164" s="179"/>
      <c r="DI164" s="179"/>
      <c r="DJ164" s="179"/>
      <c r="DK164" s="34"/>
      <c r="DL164" s="179"/>
      <c r="DM164" s="179"/>
      <c r="DN164" s="179"/>
      <c r="DO164" s="179"/>
      <c r="DP164" s="179"/>
      <c r="DQ164" s="179"/>
      <c r="DR164" s="179"/>
      <c r="DS164" s="179"/>
      <c r="DT164" s="179"/>
      <c r="DU164" s="179"/>
      <c r="DV164" s="179"/>
      <c r="DW164" s="179"/>
      <c r="DX164" s="179"/>
      <c r="DY164" s="179"/>
      <c r="DZ164" s="179"/>
    </row>
    <row r="165" spans="1:130" s="5" customFormat="1" ht="14.25" hidden="1" customHeight="1">
      <c r="A165" s="45">
        <v>2012</v>
      </c>
      <c r="B165" s="46" t="s">
        <v>110</v>
      </c>
      <c r="C165" s="47">
        <v>2016</v>
      </c>
      <c r="D165" s="47" t="s">
        <v>21</v>
      </c>
      <c r="E165" s="46" t="s">
        <v>22</v>
      </c>
      <c r="F165" s="46">
        <v>4</v>
      </c>
      <c r="G165" s="34"/>
      <c r="H165" s="46" t="s">
        <v>249</v>
      </c>
      <c r="I165" s="46">
        <v>1</v>
      </c>
      <c r="J165" s="46">
        <v>5</v>
      </c>
      <c r="K165" s="49" t="s">
        <v>127</v>
      </c>
      <c r="L165" s="49" t="s">
        <v>40</v>
      </c>
      <c r="M165" s="49" t="s">
        <v>35</v>
      </c>
      <c r="N165" s="49" t="s">
        <v>513</v>
      </c>
      <c r="O165" s="49">
        <v>2008</v>
      </c>
      <c r="P165" s="63" t="s">
        <v>31</v>
      </c>
      <c r="Q165" s="63" t="s">
        <v>29</v>
      </c>
      <c r="R165" s="49">
        <v>3</v>
      </c>
      <c r="S165" s="179">
        <v>60</v>
      </c>
      <c r="T165" s="179"/>
      <c r="U165" s="179"/>
      <c r="V165" s="179"/>
      <c r="W165" s="179"/>
      <c r="X165" s="179"/>
      <c r="Y165" s="179"/>
      <c r="Z165" s="179" t="s">
        <v>29</v>
      </c>
      <c r="AA165" s="179" t="s">
        <v>35</v>
      </c>
      <c r="AB165" s="179" t="s">
        <v>35</v>
      </c>
      <c r="AC165" s="46" t="s">
        <v>72</v>
      </c>
      <c r="AD165" s="46" t="s">
        <v>27</v>
      </c>
      <c r="AE165" s="46" t="s">
        <v>89</v>
      </c>
      <c r="AF165" s="46" t="s">
        <v>29</v>
      </c>
      <c r="AG165" s="52">
        <v>177631</v>
      </c>
      <c r="AH165" s="52">
        <v>161278</v>
      </c>
      <c r="AI165" s="52">
        <v>161278</v>
      </c>
      <c r="AJ165" s="52">
        <v>52.1</v>
      </c>
      <c r="AK165" s="174">
        <v>104.2</v>
      </c>
      <c r="AL165" s="52">
        <v>52.1</v>
      </c>
      <c r="AM165" s="52">
        <v>68.8</v>
      </c>
      <c r="AN165" s="179"/>
      <c r="AO165" s="179"/>
      <c r="AP165" s="177">
        <v>16353</v>
      </c>
      <c r="AQ165" s="102">
        <v>9.1999999999999993</v>
      </c>
      <c r="AR165" s="50">
        <v>1880</v>
      </c>
      <c r="AS165" s="50">
        <v>1.2</v>
      </c>
      <c r="AT165" s="102"/>
      <c r="AU165" s="102"/>
      <c r="AV165" s="179"/>
      <c r="AW165" s="179"/>
      <c r="AX165" s="177">
        <v>29512</v>
      </c>
      <c r="AY165" s="50">
        <v>18.3</v>
      </c>
      <c r="AZ165" s="177">
        <v>20072</v>
      </c>
      <c r="BA165" s="102">
        <v>12.4</v>
      </c>
      <c r="BB165" s="102">
        <v>9440</v>
      </c>
      <c r="BC165" s="102">
        <v>5.9</v>
      </c>
      <c r="BD165" s="50">
        <v>1693</v>
      </c>
      <c r="BE165" s="50">
        <v>1</v>
      </c>
      <c r="BF165" s="50">
        <v>32582</v>
      </c>
      <c r="BG165" s="50">
        <v>20.2</v>
      </c>
      <c r="BH165" s="178"/>
      <c r="BI165" s="179"/>
      <c r="BJ165" s="179"/>
      <c r="BK165" s="179"/>
      <c r="BL165" s="179"/>
      <c r="BM165" s="179"/>
      <c r="BN165" s="102"/>
      <c r="BO165" s="179"/>
      <c r="BP165" s="179"/>
      <c r="BQ165" s="179"/>
      <c r="BR165" s="92" t="s">
        <v>967</v>
      </c>
      <c r="BS165" s="179"/>
      <c r="BT165" s="45" t="e">
        <f t="shared" ref="BT165:BT196" si="81">IF(J165=I165, "No", IF(AJ165/AO165&lt;2, "Yes", "No"))</f>
        <v>#DIV/0!</v>
      </c>
      <c r="BU165" s="45" t="e">
        <f t="shared" ref="BU165:BU196" si="82">IF(J165=I165, "No", IF(AJ165/AO165&lt;1.5, "Yes", "No"))</f>
        <v>#DIV/0!</v>
      </c>
      <c r="BV165" s="45" t="str">
        <f t="shared" ref="BV165:BV196" si="83">IF(J165=I165, "No", IF((ABS(AJ165-AO165))&lt;(5/I165), "Yes", "No"))</f>
        <v>No</v>
      </c>
      <c r="BW165" s="179"/>
      <c r="BX165" s="179"/>
      <c r="BY165" s="179"/>
      <c r="BZ165" s="179"/>
      <c r="CA165" s="179"/>
      <c r="CB165" s="179"/>
      <c r="CC165" s="46" t="s">
        <v>490</v>
      </c>
      <c r="CD165" s="46" t="s">
        <v>71</v>
      </c>
      <c r="CE165" s="46" t="s">
        <v>783</v>
      </c>
      <c r="CF165" s="46">
        <v>1</v>
      </c>
      <c r="CG165" s="179"/>
      <c r="CH165" s="179"/>
      <c r="CI165" s="179"/>
      <c r="CJ165" s="179"/>
      <c r="CK165" s="179"/>
      <c r="CL165" s="179"/>
      <c r="CM165" s="179"/>
      <c r="CN165" s="179"/>
      <c r="CO165" s="179"/>
      <c r="CP165" s="179"/>
      <c r="CQ165" s="179"/>
      <c r="CR165" s="179"/>
      <c r="CS165" s="179"/>
      <c r="CT165" s="179"/>
      <c r="CU165" s="179"/>
      <c r="CV165" s="179"/>
      <c r="CW165" s="179"/>
      <c r="CX165" s="179"/>
      <c r="CY165" s="179"/>
      <c r="CZ165" s="179"/>
      <c r="DA165" s="179"/>
      <c r="DB165" s="179"/>
      <c r="DC165" s="179"/>
      <c r="DD165" s="179"/>
      <c r="DE165" s="179"/>
      <c r="DF165" s="179"/>
      <c r="DG165" s="179"/>
      <c r="DH165" s="179"/>
      <c r="DI165" s="179"/>
      <c r="DJ165" s="179"/>
      <c r="DK165" s="34"/>
      <c r="DL165" s="179"/>
      <c r="DM165" s="179"/>
      <c r="DN165" s="179"/>
      <c r="DO165" s="179"/>
      <c r="DP165" s="179"/>
      <c r="DQ165" s="179"/>
      <c r="DR165" s="179"/>
      <c r="DS165" s="179"/>
      <c r="DT165" s="179"/>
      <c r="DU165" s="179"/>
      <c r="DV165" s="179"/>
      <c r="DW165" s="179"/>
      <c r="DX165" s="179"/>
      <c r="DY165" s="179"/>
      <c r="DZ165" s="8"/>
    </row>
    <row r="166" spans="1:130" s="5" customFormat="1" ht="14.25" hidden="1" customHeight="1">
      <c r="A166" s="45">
        <v>2013</v>
      </c>
      <c r="B166" s="46" t="s">
        <v>110</v>
      </c>
      <c r="C166" s="47">
        <v>2016</v>
      </c>
      <c r="D166" s="47" t="s">
        <v>21</v>
      </c>
      <c r="E166" s="46" t="s">
        <v>77</v>
      </c>
      <c r="F166" s="46">
        <v>4</v>
      </c>
      <c r="G166" s="34"/>
      <c r="H166" s="46" t="s">
        <v>249</v>
      </c>
      <c r="I166" s="46">
        <v>1</v>
      </c>
      <c r="J166" s="46">
        <v>2</v>
      </c>
      <c r="K166" s="49" t="s">
        <v>129</v>
      </c>
      <c r="L166" s="49" t="s">
        <v>30</v>
      </c>
      <c r="M166" s="49" t="s">
        <v>29</v>
      </c>
      <c r="N166" s="49" t="s">
        <v>513</v>
      </c>
      <c r="O166" s="49">
        <v>2012</v>
      </c>
      <c r="P166" s="63" t="s">
        <v>31</v>
      </c>
      <c r="Q166" s="63" t="s">
        <v>29</v>
      </c>
      <c r="R166" s="49">
        <v>0</v>
      </c>
      <c r="S166" s="179">
        <v>0</v>
      </c>
      <c r="T166" s="179"/>
      <c r="U166" s="179"/>
      <c r="V166" s="179"/>
      <c r="W166" s="179">
        <v>0</v>
      </c>
      <c r="X166" s="179">
        <v>0</v>
      </c>
      <c r="Y166" s="179"/>
      <c r="Z166" s="179" t="s">
        <v>29</v>
      </c>
      <c r="AA166" s="179" t="s">
        <v>29</v>
      </c>
      <c r="AB166" s="179" t="s">
        <v>29</v>
      </c>
      <c r="AC166" s="46" t="s">
        <v>72</v>
      </c>
      <c r="AD166" s="46" t="s">
        <v>27</v>
      </c>
      <c r="AE166" s="46" t="s">
        <v>89</v>
      </c>
      <c r="AF166" s="46" t="s">
        <v>29</v>
      </c>
      <c r="AG166" s="52">
        <v>37139</v>
      </c>
      <c r="AH166" s="52">
        <v>31041</v>
      </c>
      <c r="AI166" s="52">
        <v>31041</v>
      </c>
      <c r="AJ166" s="52">
        <v>80.92</v>
      </c>
      <c r="AK166" s="174">
        <v>161.84</v>
      </c>
      <c r="AL166" s="52">
        <v>80.92</v>
      </c>
      <c r="AM166" s="52">
        <v>80.92</v>
      </c>
      <c r="AN166" s="179"/>
      <c r="AO166" s="179"/>
      <c r="AP166" s="177">
        <v>6098</v>
      </c>
      <c r="AQ166" s="102">
        <v>16.399999999999999</v>
      </c>
      <c r="AR166" s="102">
        <v>49</v>
      </c>
      <c r="AS166" s="102">
        <v>0.2</v>
      </c>
      <c r="AT166" s="102"/>
      <c r="AU166" s="102"/>
      <c r="AV166" s="179"/>
      <c r="AW166" s="179"/>
      <c r="AX166" s="177">
        <v>9357</v>
      </c>
      <c r="AY166" s="102">
        <v>30.1</v>
      </c>
      <c r="AZ166" s="177">
        <v>5896</v>
      </c>
      <c r="BA166" s="102">
        <v>19</v>
      </c>
      <c r="BB166" s="102">
        <v>3461</v>
      </c>
      <c r="BC166" s="102">
        <v>11.1</v>
      </c>
      <c r="BD166" s="102">
        <v>434</v>
      </c>
      <c r="BE166" s="102">
        <v>1.4</v>
      </c>
      <c r="BF166" s="102">
        <v>9747</v>
      </c>
      <c r="BG166" s="102">
        <v>31.4</v>
      </c>
      <c r="BH166" s="178"/>
      <c r="BI166" s="179"/>
      <c r="BJ166" s="179"/>
      <c r="BK166" s="179"/>
      <c r="BL166" s="179"/>
      <c r="BM166" s="179"/>
      <c r="BN166" s="102"/>
      <c r="BO166" s="179"/>
      <c r="BP166" s="179"/>
      <c r="BQ166" s="179"/>
      <c r="BR166" s="92" t="s">
        <v>967</v>
      </c>
      <c r="BS166" s="179"/>
      <c r="BT166" s="45" t="e">
        <f t="shared" si="81"/>
        <v>#DIV/0!</v>
      </c>
      <c r="BU166" s="45" t="e">
        <f t="shared" si="82"/>
        <v>#DIV/0!</v>
      </c>
      <c r="BV166" s="45" t="str">
        <f t="shared" si="83"/>
        <v>No</v>
      </c>
      <c r="BW166" s="179"/>
      <c r="BX166" s="179"/>
      <c r="BY166" s="179"/>
      <c r="BZ166" s="179"/>
      <c r="CA166" s="179"/>
      <c r="CB166" s="179"/>
      <c r="CC166" s="46" t="s">
        <v>490</v>
      </c>
      <c r="CD166" s="46" t="s">
        <v>71</v>
      </c>
      <c r="CE166" s="46" t="s">
        <v>783</v>
      </c>
      <c r="CF166" s="46">
        <v>1</v>
      </c>
      <c r="CG166" s="179"/>
      <c r="CH166" s="179"/>
      <c r="CI166" s="179"/>
      <c r="CJ166" s="179"/>
      <c r="CK166" s="179"/>
      <c r="CL166" s="179"/>
      <c r="CM166" s="179"/>
      <c r="CN166" s="179"/>
      <c r="CO166" s="179"/>
      <c r="CP166" s="179"/>
      <c r="CQ166" s="179"/>
      <c r="CR166" s="179"/>
      <c r="CS166" s="179"/>
      <c r="CT166" s="179"/>
      <c r="CU166" s="179"/>
      <c r="CV166" s="179"/>
      <c r="CW166" s="179"/>
      <c r="CX166" s="179"/>
      <c r="CY166" s="179"/>
      <c r="CZ166" s="179"/>
      <c r="DA166" s="179"/>
      <c r="DB166" s="179"/>
      <c r="DC166" s="179"/>
      <c r="DD166" s="179"/>
      <c r="DE166" s="179"/>
      <c r="DF166" s="179"/>
      <c r="DG166" s="179"/>
      <c r="DH166" s="179"/>
      <c r="DI166" s="179"/>
      <c r="DJ166" s="179"/>
      <c r="DK166" s="34"/>
      <c r="DL166" s="179"/>
      <c r="DM166" s="179"/>
      <c r="DN166" s="179"/>
      <c r="DO166" s="179"/>
      <c r="DP166" s="179"/>
      <c r="DQ166" s="179"/>
      <c r="DR166" s="179"/>
      <c r="DS166" s="179"/>
      <c r="DT166" s="179"/>
      <c r="DU166" s="179"/>
      <c r="DV166" s="179"/>
      <c r="DW166" s="179"/>
      <c r="DX166" s="179"/>
      <c r="DY166" s="179"/>
      <c r="DZ166" s="179"/>
    </row>
    <row r="167" spans="1:130" s="5" customFormat="1" ht="14.25" hidden="1" customHeight="1">
      <c r="A167" s="45">
        <v>2014</v>
      </c>
      <c r="B167" s="46" t="s">
        <v>110</v>
      </c>
      <c r="C167" s="47">
        <v>2016</v>
      </c>
      <c r="D167" s="47" t="s">
        <v>21</v>
      </c>
      <c r="E167" s="46" t="s">
        <v>95</v>
      </c>
      <c r="F167" s="46">
        <v>4</v>
      </c>
      <c r="G167" s="34"/>
      <c r="H167" s="46" t="s">
        <v>249</v>
      </c>
      <c r="I167" s="46">
        <v>1</v>
      </c>
      <c r="J167" s="46">
        <v>2</v>
      </c>
      <c r="K167" s="49" t="s">
        <v>133</v>
      </c>
      <c r="L167" s="49" t="s">
        <v>40</v>
      </c>
      <c r="M167" s="49" t="s">
        <v>35</v>
      </c>
      <c r="N167" s="49" t="s">
        <v>513</v>
      </c>
      <c r="O167" s="49">
        <v>2012</v>
      </c>
      <c r="P167" s="63" t="s">
        <v>201</v>
      </c>
      <c r="Q167" s="63" t="s">
        <v>35</v>
      </c>
      <c r="R167" s="49">
        <v>2</v>
      </c>
      <c r="S167" s="179">
        <v>100</v>
      </c>
      <c r="T167" s="179">
        <v>2</v>
      </c>
      <c r="U167" s="179">
        <v>100</v>
      </c>
      <c r="V167" s="179" t="s">
        <v>867</v>
      </c>
      <c r="W167" s="179">
        <v>2</v>
      </c>
      <c r="X167" s="179">
        <v>100</v>
      </c>
      <c r="Y167" s="179" t="s">
        <v>35</v>
      </c>
      <c r="Z167" s="179" t="s">
        <v>29</v>
      </c>
      <c r="AA167" s="179" t="s">
        <v>35</v>
      </c>
      <c r="AB167" s="179" t="s">
        <v>35</v>
      </c>
      <c r="AC167" s="46" t="s">
        <v>72</v>
      </c>
      <c r="AD167" s="46" t="s">
        <v>27</v>
      </c>
      <c r="AE167" s="46" t="s">
        <v>89</v>
      </c>
      <c r="AF167" s="46" t="s">
        <v>29</v>
      </c>
      <c r="AG167" s="52">
        <v>28936</v>
      </c>
      <c r="AH167" s="52">
        <v>23311</v>
      </c>
      <c r="AI167" s="52">
        <v>23311</v>
      </c>
      <c r="AJ167" s="52">
        <v>56.53</v>
      </c>
      <c r="AK167" s="174">
        <v>113.06</v>
      </c>
      <c r="AL167" s="52">
        <v>56.53</v>
      </c>
      <c r="AM167" s="52">
        <v>56.53</v>
      </c>
      <c r="AN167" s="179"/>
      <c r="AO167" s="179"/>
      <c r="AP167" s="177">
        <v>5625</v>
      </c>
      <c r="AQ167" s="102">
        <v>19.399999999999999</v>
      </c>
      <c r="AR167" s="102">
        <v>97</v>
      </c>
      <c r="AS167" s="102">
        <v>0.4</v>
      </c>
      <c r="AT167" s="102"/>
      <c r="AU167" s="102"/>
      <c r="AV167" s="179"/>
      <c r="AW167" s="179"/>
      <c r="AX167" s="177">
        <v>8509</v>
      </c>
      <c r="AY167" s="102">
        <v>36.5</v>
      </c>
      <c r="AZ167" s="177">
        <v>4625</v>
      </c>
      <c r="BA167" s="102">
        <v>19.8</v>
      </c>
      <c r="BB167" s="102">
        <v>3884</v>
      </c>
      <c r="BC167" s="102">
        <v>16.7</v>
      </c>
      <c r="BD167" s="102">
        <v>392</v>
      </c>
      <c r="BE167" s="102">
        <v>1.7</v>
      </c>
      <c r="BF167" s="102">
        <v>8892</v>
      </c>
      <c r="BG167" s="102">
        <v>38.1</v>
      </c>
      <c r="BH167" s="178"/>
      <c r="BI167" s="179"/>
      <c r="BJ167" s="179"/>
      <c r="BK167" s="179"/>
      <c r="BL167" s="179"/>
      <c r="BM167" s="179"/>
      <c r="BN167" s="102"/>
      <c r="BO167" s="179"/>
      <c r="BP167" s="179"/>
      <c r="BQ167" s="179"/>
      <c r="BR167" s="92" t="s">
        <v>967</v>
      </c>
      <c r="BS167" s="179"/>
      <c r="BT167" s="45" t="e">
        <f t="shared" si="81"/>
        <v>#DIV/0!</v>
      </c>
      <c r="BU167" s="45" t="e">
        <f t="shared" si="82"/>
        <v>#DIV/0!</v>
      </c>
      <c r="BV167" s="45" t="str">
        <f t="shared" si="83"/>
        <v>No</v>
      </c>
      <c r="BW167" s="179"/>
      <c r="BX167" s="179"/>
      <c r="BY167" s="179"/>
      <c r="BZ167" s="179"/>
      <c r="CA167" s="179"/>
      <c r="CB167" s="179"/>
      <c r="CC167" s="46" t="s">
        <v>490</v>
      </c>
      <c r="CD167" s="46" t="s">
        <v>71</v>
      </c>
      <c r="CE167" s="46" t="s">
        <v>783</v>
      </c>
      <c r="CF167" s="46">
        <v>1</v>
      </c>
      <c r="CG167" s="179"/>
      <c r="CH167" s="179"/>
      <c r="CI167" s="179"/>
      <c r="CJ167" s="179"/>
      <c r="CK167" s="179"/>
      <c r="CL167" s="179"/>
      <c r="CM167" s="179"/>
      <c r="CN167" s="179"/>
      <c r="CO167" s="179"/>
      <c r="CP167" s="179"/>
      <c r="CQ167" s="179"/>
      <c r="CR167" s="179"/>
      <c r="CS167" s="179"/>
      <c r="CT167" s="179"/>
      <c r="CU167" s="179"/>
      <c r="CV167" s="179"/>
      <c r="CW167" s="179"/>
      <c r="CX167" s="179"/>
      <c r="CY167" s="179"/>
      <c r="CZ167" s="179"/>
      <c r="DA167" s="179"/>
      <c r="DB167" s="179"/>
      <c r="DC167" s="179"/>
      <c r="DD167" s="179"/>
      <c r="DE167" s="179"/>
      <c r="DF167" s="179"/>
      <c r="DG167" s="179"/>
      <c r="DH167" s="179"/>
      <c r="DI167" s="179"/>
      <c r="DJ167" s="179"/>
      <c r="DK167" s="34"/>
      <c r="DL167" s="179"/>
      <c r="DM167" s="179"/>
      <c r="DN167" s="179"/>
      <c r="DO167" s="179"/>
      <c r="DP167" s="179"/>
      <c r="DQ167" s="179"/>
      <c r="DR167" s="179"/>
      <c r="DS167" s="179"/>
      <c r="DT167" s="179"/>
      <c r="DU167" s="179"/>
      <c r="DV167" s="179"/>
      <c r="DW167" s="179"/>
      <c r="DX167" s="179"/>
      <c r="DY167" s="179"/>
      <c r="DZ167" s="179"/>
    </row>
    <row r="168" spans="1:130" s="5" customFormat="1" ht="14.25" hidden="1" customHeight="1">
      <c r="A168" s="45">
        <v>2015</v>
      </c>
      <c r="B168" s="46" t="s">
        <v>110</v>
      </c>
      <c r="C168" s="47">
        <v>2016</v>
      </c>
      <c r="D168" s="47" t="s">
        <v>21</v>
      </c>
      <c r="E168" s="46" t="s">
        <v>98</v>
      </c>
      <c r="F168" s="46">
        <v>4</v>
      </c>
      <c r="G168" s="34"/>
      <c r="H168" s="46" t="s">
        <v>249</v>
      </c>
      <c r="I168" s="46">
        <v>1</v>
      </c>
      <c r="J168" s="46">
        <v>2</v>
      </c>
      <c r="K168" s="49" t="s">
        <v>137</v>
      </c>
      <c r="L168" s="63" t="s">
        <v>30</v>
      </c>
      <c r="M168" s="63" t="s">
        <v>29</v>
      </c>
      <c r="N168" s="63" t="s">
        <v>513</v>
      </c>
      <c r="O168" s="63">
        <v>2012</v>
      </c>
      <c r="P168" s="63" t="s">
        <v>857</v>
      </c>
      <c r="Q168" s="63" t="s">
        <v>35</v>
      </c>
      <c r="R168" s="49">
        <v>1</v>
      </c>
      <c r="S168" s="179">
        <v>50</v>
      </c>
      <c r="T168" s="63">
        <v>2</v>
      </c>
      <c r="U168" s="63">
        <v>100</v>
      </c>
      <c r="V168" s="179" t="s">
        <v>794</v>
      </c>
      <c r="W168" s="179">
        <v>1</v>
      </c>
      <c r="X168" s="179">
        <v>50</v>
      </c>
      <c r="Y168" s="179" t="s">
        <v>29</v>
      </c>
      <c r="Z168" s="179" t="s">
        <v>29</v>
      </c>
      <c r="AA168" s="179" t="s">
        <v>35</v>
      </c>
      <c r="AB168" s="179" t="s">
        <v>29</v>
      </c>
      <c r="AC168" s="46" t="s">
        <v>72</v>
      </c>
      <c r="AD168" s="46" t="s">
        <v>27</v>
      </c>
      <c r="AE168" s="46" t="s">
        <v>89</v>
      </c>
      <c r="AF168" s="46" t="s">
        <v>29</v>
      </c>
      <c r="AG168" s="52">
        <v>16317</v>
      </c>
      <c r="AH168" s="52">
        <v>13939</v>
      </c>
      <c r="AI168" s="52">
        <v>13939</v>
      </c>
      <c r="AJ168" s="52">
        <v>56.43</v>
      </c>
      <c r="AK168" s="174">
        <v>112.86</v>
      </c>
      <c r="AL168" s="52">
        <v>56.43</v>
      </c>
      <c r="AM168" s="52">
        <v>56.43</v>
      </c>
      <c r="AN168" s="179"/>
      <c r="AO168" s="179"/>
      <c r="AP168" s="177">
        <v>2378</v>
      </c>
      <c r="AQ168" s="102">
        <v>14.6</v>
      </c>
      <c r="AR168" s="102">
        <v>71</v>
      </c>
      <c r="AS168" s="102">
        <v>0.5</v>
      </c>
      <c r="AT168" s="102"/>
      <c r="AU168" s="102"/>
      <c r="AV168" s="179"/>
      <c r="AW168" s="179"/>
      <c r="AX168" s="177">
        <v>6142</v>
      </c>
      <c r="AY168" s="102">
        <v>44.1</v>
      </c>
      <c r="AZ168" s="177">
        <v>3603</v>
      </c>
      <c r="BA168" s="102">
        <v>25.8</v>
      </c>
      <c r="BB168" s="102">
        <v>2539</v>
      </c>
      <c r="BC168" s="102">
        <v>18.2</v>
      </c>
      <c r="BD168" s="102">
        <v>284</v>
      </c>
      <c r="BE168" s="102">
        <v>2</v>
      </c>
      <c r="BF168" s="102">
        <v>6402</v>
      </c>
      <c r="BG168" s="102">
        <v>45.9</v>
      </c>
      <c r="BH168" s="178"/>
      <c r="BI168" s="179"/>
      <c r="BJ168" s="179"/>
      <c r="BK168" s="179"/>
      <c r="BL168" s="179"/>
      <c r="BM168" s="179"/>
      <c r="BN168" s="102"/>
      <c r="BO168" s="179"/>
      <c r="BP168" s="179"/>
      <c r="BQ168" s="179"/>
      <c r="BR168" s="92" t="s">
        <v>967</v>
      </c>
      <c r="BS168" s="179"/>
      <c r="BT168" s="45" t="e">
        <f t="shared" si="81"/>
        <v>#DIV/0!</v>
      </c>
      <c r="BU168" s="45" t="e">
        <f t="shared" si="82"/>
        <v>#DIV/0!</v>
      </c>
      <c r="BV168" s="45" t="str">
        <f t="shared" si="83"/>
        <v>No</v>
      </c>
      <c r="BW168" s="179"/>
      <c r="BX168" s="179"/>
      <c r="BY168" s="179"/>
      <c r="BZ168" s="179"/>
      <c r="CA168" s="179"/>
      <c r="CB168" s="179"/>
      <c r="CC168" s="46" t="s">
        <v>490</v>
      </c>
      <c r="CD168" s="46" t="s">
        <v>71</v>
      </c>
      <c r="CE168" s="46" t="s">
        <v>783</v>
      </c>
      <c r="CF168" s="46">
        <v>1</v>
      </c>
      <c r="CG168" s="179"/>
      <c r="CH168" s="179"/>
      <c r="CI168" s="179"/>
      <c r="CJ168" s="179"/>
      <c r="CK168" s="179"/>
      <c r="CL168" s="179"/>
      <c r="CM168" s="179"/>
      <c r="CN168" s="179"/>
      <c r="CO168" s="179"/>
      <c r="CP168" s="179"/>
      <c r="CQ168" s="179"/>
      <c r="CR168" s="179"/>
      <c r="CS168" s="179"/>
      <c r="CT168" s="179"/>
      <c r="CU168" s="179"/>
      <c r="CV168" s="179"/>
      <c r="CW168" s="179"/>
      <c r="CX168" s="179"/>
      <c r="CY168" s="179"/>
      <c r="CZ168" s="179"/>
      <c r="DA168" s="179"/>
      <c r="DB168" s="179"/>
      <c r="DC168" s="179"/>
      <c r="DD168" s="179"/>
      <c r="DE168" s="179"/>
      <c r="DF168" s="179"/>
      <c r="DG168" s="179"/>
      <c r="DH168" s="179"/>
      <c r="DI168" s="179"/>
      <c r="DJ168" s="179"/>
      <c r="DK168" s="34"/>
      <c r="DL168" s="179"/>
      <c r="DM168" s="179"/>
      <c r="DN168" s="179"/>
      <c r="DO168" s="179"/>
      <c r="DP168" s="179"/>
      <c r="DQ168" s="179"/>
      <c r="DR168" s="179"/>
      <c r="DS168" s="179"/>
      <c r="DT168" s="179"/>
      <c r="DU168" s="179"/>
      <c r="DV168" s="179"/>
      <c r="DW168" s="179"/>
      <c r="DX168" s="179"/>
      <c r="DY168" s="179"/>
      <c r="DZ168" s="179"/>
    </row>
    <row r="169" spans="1:130" s="5" customFormat="1" ht="14.25" hidden="1" customHeight="1">
      <c r="A169" s="45">
        <v>2016</v>
      </c>
      <c r="B169" s="46" t="s">
        <v>110</v>
      </c>
      <c r="C169" s="47">
        <v>2016</v>
      </c>
      <c r="D169" s="47" t="s">
        <v>21</v>
      </c>
      <c r="E169" s="46" t="s">
        <v>83</v>
      </c>
      <c r="F169" s="46">
        <v>4</v>
      </c>
      <c r="G169" s="34"/>
      <c r="H169" s="46" t="s">
        <v>249</v>
      </c>
      <c r="I169" s="46">
        <v>1</v>
      </c>
      <c r="J169" s="46">
        <v>3</v>
      </c>
      <c r="K169" s="49" t="s">
        <v>140</v>
      </c>
      <c r="L169" s="49" t="s">
        <v>30</v>
      </c>
      <c r="M169" s="49" t="s">
        <v>29</v>
      </c>
      <c r="N169" s="49" t="s">
        <v>513</v>
      </c>
      <c r="O169" s="49">
        <v>2000</v>
      </c>
      <c r="P169" s="63" t="s">
        <v>201</v>
      </c>
      <c r="Q169" s="63" t="s">
        <v>35</v>
      </c>
      <c r="R169" s="49">
        <v>2</v>
      </c>
      <c r="S169" s="179">
        <v>66.599999999999994</v>
      </c>
      <c r="T169" s="179"/>
      <c r="U169" s="179"/>
      <c r="V169" s="179"/>
      <c r="W169" s="179"/>
      <c r="X169" s="179"/>
      <c r="Y169" s="179"/>
      <c r="Z169" s="179" t="s">
        <v>29</v>
      </c>
      <c r="AA169" s="179" t="s">
        <v>35</v>
      </c>
      <c r="AB169" s="179" t="s">
        <v>29</v>
      </c>
      <c r="AC169" s="46" t="s">
        <v>72</v>
      </c>
      <c r="AD169" s="46" t="s">
        <v>27</v>
      </c>
      <c r="AE169" s="46" t="s">
        <v>89</v>
      </c>
      <c r="AF169" s="46" t="s">
        <v>29</v>
      </c>
      <c r="AG169" s="52">
        <v>18069</v>
      </c>
      <c r="AH169" s="52">
        <v>15798</v>
      </c>
      <c r="AI169" s="52">
        <v>15798</v>
      </c>
      <c r="AJ169" s="52">
        <v>53.79</v>
      </c>
      <c r="AK169" s="174">
        <v>107.58</v>
      </c>
      <c r="AL169" s="52">
        <v>53.79</v>
      </c>
      <c r="AM169" s="52">
        <v>63.6</v>
      </c>
      <c r="AN169" s="179"/>
      <c r="AO169" s="179"/>
      <c r="AP169" s="177">
        <v>2271</v>
      </c>
      <c r="AQ169" s="102">
        <v>12.6</v>
      </c>
      <c r="AR169" s="102">
        <v>116</v>
      </c>
      <c r="AS169" s="102">
        <v>0.7</v>
      </c>
      <c r="AT169" s="102"/>
      <c r="AU169" s="102"/>
      <c r="AV169" s="179"/>
      <c r="AW169" s="179"/>
      <c r="AX169" s="177">
        <v>5248</v>
      </c>
      <c r="AY169" s="102">
        <v>33.200000000000003</v>
      </c>
      <c r="AZ169" s="177">
        <v>3593</v>
      </c>
      <c r="BA169" s="102">
        <v>22.7</v>
      </c>
      <c r="BB169" s="102">
        <v>1655</v>
      </c>
      <c r="BC169" s="102">
        <v>10.5</v>
      </c>
      <c r="BD169" s="102">
        <v>267</v>
      </c>
      <c r="BE169" s="102">
        <v>1.7</v>
      </c>
      <c r="BF169" s="102">
        <v>5544</v>
      </c>
      <c r="BG169" s="102">
        <v>35.1</v>
      </c>
      <c r="BH169" s="178"/>
      <c r="BI169" s="179"/>
      <c r="BJ169" s="179"/>
      <c r="BK169" s="179"/>
      <c r="BL169" s="179"/>
      <c r="BM169" s="179"/>
      <c r="BN169" s="102"/>
      <c r="BO169" s="179"/>
      <c r="BP169" s="179"/>
      <c r="BQ169" s="179"/>
      <c r="BR169" s="92" t="s">
        <v>967</v>
      </c>
      <c r="BS169" s="179"/>
      <c r="BT169" s="45" t="e">
        <f t="shared" si="81"/>
        <v>#DIV/0!</v>
      </c>
      <c r="BU169" s="45" t="e">
        <f t="shared" si="82"/>
        <v>#DIV/0!</v>
      </c>
      <c r="BV169" s="45" t="str">
        <f t="shared" si="83"/>
        <v>No</v>
      </c>
      <c r="BW169" s="179"/>
      <c r="BX169" s="179"/>
      <c r="BY169" s="179"/>
      <c r="BZ169" s="179"/>
      <c r="CA169" s="179"/>
      <c r="CB169" s="179"/>
      <c r="CC169" s="46" t="s">
        <v>490</v>
      </c>
      <c r="CD169" s="46" t="s">
        <v>71</v>
      </c>
      <c r="CE169" s="46" t="s">
        <v>783</v>
      </c>
      <c r="CF169" s="46">
        <v>1</v>
      </c>
      <c r="CG169" s="179"/>
      <c r="CH169" s="179"/>
      <c r="CI169" s="179"/>
      <c r="CJ169" s="179"/>
      <c r="CK169" s="179"/>
      <c r="CL169" s="179"/>
      <c r="CM169" s="179"/>
      <c r="CN169" s="179"/>
      <c r="CO169" s="179"/>
      <c r="CP169" s="179"/>
      <c r="CQ169" s="179"/>
      <c r="CR169" s="179"/>
      <c r="CS169" s="179"/>
      <c r="CT169" s="179"/>
      <c r="CU169" s="179"/>
      <c r="CV169" s="179"/>
      <c r="CW169" s="179"/>
      <c r="CX169" s="179"/>
      <c r="CY169" s="179"/>
      <c r="CZ169" s="179"/>
      <c r="DA169" s="179"/>
      <c r="DB169" s="179"/>
      <c r="DC169" s="179"/>
      <c r="DD169" s="179"/>
      <c r="DE169" s="179"/>
      <c r="DF169" s="179"/>
      <c r="DG169" s="179"/>
      <c r="DH169" s="179"/>
      <c r="DI169" s="179"/>
      <c r="DJ169" s="179"/>
      <c r="DK169" s="34"/>
      <c r="DL169" s="179"/>
      <c r="DM169" s="179"/>
      <c r="DN169" s="179"/>
      <c r="DO169" s="179"/>
      <c r="DP169" s="179"/>
      <c r="DQ169" s="179"/>
      <c r="DR169" s="179"/>
      <c r="DS169" s="179"/>
      <c r="DT169" s="179"/>
      <c r="DU169" s="179"/>
      <c r="DV169" s="179"/>
      <c r="DW169" s="179"/>
      <c r="DX169" s="179"/>
      <c r="DY169" s="179"/>
      <c r="DZ169" s="179"/>
    </row>
    <row r="170" spans="1:130" s="5" customFormat="1" ht="14.25" hidden="1" customHeight="1">
      <c r="A170" s="45">
        <v>2017</v>
      </c>
      <c r="B170" s="46" t="s">
        <v>110</v>
      </c>
      <c r="C170" s="47">
        <v>2016</v>
      </c>
      <c r="D170" s="47" t="s">
        <v>3136</v>
      </c>
      <c r="E170" s="46" t="s">
        <v>77</v>
      </c>
      <c r="F170" s="46">
        <v>4</v>
      </c>
      <c r="G170" s="34"/>
      <c r="H170" s="46" t="s">
        <v>332</v>
      </c>
      <c r="I170" s="46">
        <v>1</v>
      </c>
      <c r="J170" s="46">
        <v>2</v>
      </c>
      <c r="K170" s="49" t="s">
        <v>131</v>
      </c>
      <c r="L170" s="63" t="s">
        <v>40</v>
      </c>
      <c r="M170" s="63" t="s">
        <v>35</v>
      </c>
      <c r="N170" s="63" t="s">
        <v>513</v>
      </c>
      <c r="O170" s="63">
        <v>2008</v>
      </c>
      <c r="P170" s="63" t="s">
        <v>31</v>
      </c>
      <c r="Q170" s="63" t="s">
        <v>29</v>
      </c>
      <c r="R170" s="49">
        <v>1</v>
      </c>
      <c r="S170" s="179">
        <v>50</v>
      </c>
      <c r="T170" s="179"/>
      <c r="U170" s="179"/>
      <c r="V170" s="179"/>
      <c r="W170" s="179"/>
      <c r="X170" s="179"/>
      <c r="Y170" s="179"/>
      <c r="Z170" s="179" t="s">
        <v>29</v>
      </c>
      <c r="AA170" s="179"/>
      <c r="AB170" s="179" t="s">
        <v>35</v>
      </c>
      <c r="AC170" s="46" t="s">
        <v>72</v>
      </c>
      <c r="AD170" s="46" t="s">
        <v>27</v>
      </c>
      <c r="AE170" s="46" t="s">
        <v>89</v>
      </c>
      <c r="AF170" s="46" t="s">
        <v>29</v>
      </c>
      <c r="AG170" s="52">
        <v>37139</v>
      </c>
      <c r="AH170" s="52">
        <v>28870</v>
      </c>
      <c r="AI170" s="52">
        <v>28870</v>
      </c>
      <c r="AJ170" s="52">
        <v>75.400000000000006</v>
      </c>
      <c r="AK170" s="174">
        <v>150.80000000000001</v>
      </c>
      <c r="AL170" s="52">
        <v>75.400000000000006</v>
      </c>
      <c r="AM170" s="52">
        <v>75.400000000000006</v>
      </c>
      <c r="AN170" s="179"/>
      <c r="AO170" s="179"/>
      <c r="AP170" s="177">
        <v>8269</v>
      </c>
      <c r="AQ170" s="102">
        <v>22.3</v>
      </c>
      <c r="AR170" s="102">
        <v>39</v>
      </c>
      <c r="AS170" s="102">
        <v>0.1</v>
      </c>
      <c r="AT170" s="102"/>
      <c r="AU170" s="102"/>
      <c r="AV170" s="179"/>
      <c r="AW170" s="179"/>
      <c r="AX170" s="177">
        <v>8581</v>
      </c>
      <c r="AY170" s="102">
        <v>29.7</v>
      </c>
      <c r="AZ170" s="177">
        <v>5474</v>
      </c>
      <c r="BA170" s="102">
        <v>19</v>
      </c>
      <c r="BB170" s="102">
        <v>3107</v>
      </c>
      <c r="BC170" s="102">
        <v>10.8</v>
      </c>
      <c r="BD170" s="102">
        <v>735</v>
      </c>
      <c r="BE170" s="102">
        <v>2.5</v>
      </c>
      <c r="BF170" s="102">
        <v>9201</v>
      </c>
      <c r="BG170" s="102">
        <v>31.9</v>
      </c>
      <c r="BH170" s="177"/>
      <c r="BI170" s="179"/>
      <c r="BJ170" s="179"/>
      <c r="BK170" s="179"/>
      <c r="BL170" s="179"/>
      <c r="BM170" s="179"/>
      <c r="BN170" s="102"/>
      <c r="BO170" s="179"/>
      <c r="BP170" s="179"/>
      <c r="BQ170" s="179"/>
      <c r="BR170" s="92" t="s">
        <v>967</v>
      </c>
      <c r="BS170" s="179"/>
      <c r="BT170" s="45" t="e">
        <f t="shared" si="81"/>
        <v>#DIV/0!</v>
      </c>
      <c r="BU170" s="45" t="e">
        <f t="shared" si="82"/>
        <v>#DIV/0!</v>
      </c>
      <c r="BV170" s="45" t="str">
        <f t="shared" si="83"/>
        <v>No</v>
      </c>
      <c r="BW170" s="179"/>
      <c r="BX170" s="179"/>
      <c r="BY170" s="179"/>
      <c r="BZ170" s="179"/>
      <c r="CA170" s="179"/>
      <c r="CB170" s="179"/>
      <c r="CC170" s="46" t="s">
        <v>490</v>
      </c>
      <c r="CD170" s="46" t="s">
        <v>71</v>
      </c>
      <c r="CE170" s="46" t="s">
        <v>783</v>
      </c>
      <c r="CF170" s="46">
        <v>1</v>
      </c>
      <c r="CG170" s="179"/>
      <c r="CH170" s="179"/>
      <c r="CI170" s="179"/>
      <c r="CJ170" s="179"/>
      <c r="CK170" s="179"/>
      <c r="CL170" s="179"/>
      <c r="CM170" s="179"/>
      <c r="CN170" s="179"/>
      <c r="CO170" s="179"/>
      <c r="CP170" s="179"/>
      <c r="CQ170" s="179"/>
      <c r="CR170" s="179"/>
      <c r="CS170" s="179"/>
      <c r="CT170" s="179"/>
      <c r="CU170" s="179"/>
      <c r="CV170" s="179"/>
      <c r="CW170" s="179"/>
      <c r="CX170" s="179"/>
      <c r="CY170" s="179"/>
      <c r="CZ170" s="179"/>
      <c r="DA170" s="179"/>
      <c r="DB170" s="179"/>
      <c r="DC170" s="179"/>
      <c r="DD170" s="179"/>
      <c r="DE170" s="179"/>
      <c r="DF170" s="179"/>
      <c r="DG170" s="179"/>
      <c r="DH170" s="179"/>
      <c r="DI170" s="179"/>
      <c r="DJ170" s="179"/>
      <c r="DK170" s="34"/>
      <c r="DL170" s="179"/>
      <c r="DM170" s="179"/>
      <c r="DN170" s="179"/>
      <c r="DO170" s="179"/>
      <c r="DP170" s="179"/>
      <c r="DQ170" s="179"/>
      <c r="DR170" s="179"/>
      <c r="DS170" s="179"/>
      <c r="DT170" s="179"/>
      <c r="DU170" s="179"/>
      <c r="DV170" s="179"/>
      <c r="DW170" s="179"/>
      <c r="DX170" s="179"/>
      <c r="DY170" s="179"/>
      <c r="DZ170" s="179"/>
    </row>
    <row r="171" spans="1:130" s="5" customFormat="1" ht="14.25" hidden="1" customHeight="1">
      <c r="A171" s="45">
        <v>2018</v>
      </c>
      <c r="B171" s="46" t="s">
        <v>110</v>
      </c>
      <c r="C171" s="47">
        <v>2016</v>
      </c>
      <c r="D171" s="47" t="s">
        <v>3136</v>
      </c>
      <c r="E171" s="46" t="s">
        <v>95</v>
      </c>
      <c r="F171" s="46">
        <v>4</v>
      </c>
      <c r="G171" s="34"/>
      <c r="H171" s="46" t="s">
        <v>332</v>
      </c>
      <c r="I171" s="46">
        <v>1</v>
      </c>
      <c r="J171" s="46">
        <v>4</v>
      </c>
      <c r="K171" s="49" t="s">
        <v>136</v>
      </c>
      <c r="L171" s="49" t="s">
        <v>40</v>
      </c>
      <c r="M171" s="49" t="s">
        <v>35</v>
      </c>
      <c r="N171" s="49" t="s">
        <v>513</v>
      </c>
      <c r="O171" s="49">
        <v>2008</v>
      </c>
      <c r="P171" s="63" t="s">
        <v>201</v>
      </c>
      <c r="Q171" s="63" t="s">
        <v>35</v>
      </c>
      <c r="R171" s="49"/>
      <c r="S171" s="179"/>
      <c r="T171" s="179"/>
      <c r="U171" s="179"/>
      <c r="V171" s="179"/>
      <c r="W171" s="179"/>
      <c r="X171" s="179"/>
      <c r="Y171" s="179"/>
      <c r="Z171" s="179" t="s">
        <v>29</v>
      </c>
      <c r="AA171" s="179" t="s">
        <v>35</v>
      </c>
      <c r="AB171" s="179" t="s">
        <v>35</v>
      </c>
      <c r="AC171" s="46" t="s">
        <v>114</v>
      </c>
      <c r="AD171" s="46" t="s">
        <v>27</v>
      </c>
      <c r="AE171" s="46" t="s">
        <v>89</v>
      </c>
      <c r="AF171" s="46" t="s">
        <v>29</v>
      </c>
      <c r="AG171" s="52">
        <v>28936</v>
      </c>
      <c r="AH171" s="52">
        <v>22458</v>
      </c>
      <c r="AI171" s="52">
        <v>20606</v>
      </c>
      <c r="AJ171" s="52">
        <v>39.840000000000003</v>
      </c>
      <c r="AK171" s="174">
        <v>79.680000000000007</v>
      </c>
      <c r="AL171" s="52">
        <v>52.39</v>
      </c>
      <c r="AM171" s="52">
        <v>52.39</v>
      </c>
      <c r="AN171" s="179"/>
      <c r="AO171" s="179"/>
      <c r="AP171" s="177">
        <v>6478</v>
      </c>
      <c r="AQ171" s="102">
        <v>22.4</v>
      </c>
      <c r="AR171" s="102">
        <v>163</v>
      </c>
      <c r="AS171" s="102">
        <v>0.7</v>
      </c>
      <c r="AT171" s="102"/>
      <c r="AU171" s="102"/>
      <c r="AV171" s="102">
        <v>18</v>
      </c>
      <c r="AW171" s="102">
        <v>0.1</v>
      </c>
      <c r="AX171" s="177">
        <v>4498</v>
      </c>
      <c r="AY171" s="102">
        <v>20</v>
      </c>
      <c r="AZ171" s="177">
        <v>2943</v>
      </c>
      <c r="BA171" s="102">
        <v>13.1</v>
      </c>
      <c r="BB171" s="102">
        <v>1555</v>
      </c>
      <c r="BC171" s="102">
        <v>6.9</v>
      </c>
      <c r="BD171" s="102">
        <v>422</v>
      </c>
      <c r="BE171" s="102">
        <v>1.9</v>
      </c>
      <c r="BF171" s="102">
        <v>4987</v>
      </c>
      <c r="BG171" s="102">
        <v>22.2</v>
      </c>
      <c r="BH171" s="177">
        <v>1727</v>
      </c>
      <c r="BI171" s="179">
        <v>7.7</v>
      </c>
      <c r="BJ171" s="102">
        <v>1</v>
      </c>
      <c r="BK171" s="102">
        <v>0</v>
      </c>
      <c r="BL171" s="102">
        <v>1726</v>
      </c>
      <c r="BM171" s="102">
        <v>7.7</v>
      </c>
      <c r="BN171" s="102"/>
      <c r="BO171" s="179"/>
      <c r="BP171" s="179"/>
      <c r="BQ171" s="179"/>
      <c r="BR171" s="92" t="s">
        <v>967</v>
      </c>
      <c r="BS171" s="179"/>
      <c r="BT171" s="45" t="e">
        <f t="shared" si="81"/>
        <v>#DIV/0!</v>
      </c>
      <c r="BU171" s="45" t="e">
        <f t="shared" si="82"/>
        <v>#DIV/0!</v>
      </c>
      <c r="BV171" s="45" t="str">
        <f t="shared" si="83"/>
        <v>No</v>
      </c>
      <c r="BW171" s="179"/>
      <c r="BX171" s="179"/>
      <c r="BY171" s="179"/>
      <c r="BZ171" s="179"/>
      <c r="CA171" s="179"/>
      <c r="CB171" s="179"/>
      <c r="CC171" s="46" t="s">
        <v>490</v>
      </c>
      <c r="CD171" s="46" t="s">
        <v>71</v>
      </c>
      <c r="CE171" s="46" t="s">
        <v>783</v>
      </c>
      <c r="CF171" s="46">
        <v>1</v>
      </c>
      <c r="CG171" s="179"/>
      <c r="CH171" s="179"/>
      <c r="CI171" s="179"/>
      <c r="CJ171" s="179"/>
      <c r="CK171" s="179"/>
      <c r="CL171" s="179"/>
      <c r="CM171" s="179"/>
      <c r="CN171" s="179"/>
      <c r="CO171" s="179"/>
      <c r="CP171" s="179"/>
      <c r="CQ171" s="179"/>
      <c r="CR171" s="179"/>
      <c r="CS171" s="179"/>
      <c r="CT171" s="179"/>
      <c r="CU171" s="179"/>
      <c r="CV171" s="179"/>
      <c r="CW171" s="179"/>
      <c r="CX171" s="179"/>
      <c r="CY171" s="179"/>
      <c r="CZ171" s="179"/>
      <c r="DA171" s="179"/>
      <c r="DB171" s="179"/>
      <c r="DC171" s="179"/>
      <c r="DD171" s="179"/>
      <c r="DE171" s="179"/>
      <c r="DF171" s="179"/>
      <c r="DG171" s="179"/>
      <c r="DH171" s="179"/>
      <c r="DI171" s="179"/>
      <c r="DJ171" s="179"/>
      <c r="DK171" s="34"/>
      <c r="DL171" s="179"/>
      <c r="DM171" s="179"/>
      <c r="DN171" s="179"/>
      <c r="DO171" s="179"/>
      <c r="DP171" s="179"/>
      <c r="DQ171" s="179"/>
      <c r="DR171" s="179"/>
      <c r="DS171" s="179"/>
      <c r="DT171" s="179"/>
      <c r="DU171" s="179"/>
      <c r="DV171" s="179"/>
      <c r="DW171" s="179"/>
      <c r="DX171" s="179"/>
      <c r="DY171" s="179"/>
      <c r="DZ171" s="179"/>
    </row>
    <row r="172" spans="1:130" s="5" customFormat="1" ht="14.25" hidden="1" customHeight="1">
      <c r="A172" s="45">
        <v>2019</v>
      </c>
      <c r="B172" s="46" t="s">
        <v>110</v>
      </c>
      <c r="C172" s="47">
        <v>2016</v>
      </c>
      <c r="D172" s="47" t="s">
        <v>3136</v>
      </c>
      <c r="E172" s="46" t="s">
        <v>98</v>
      </c>
      <c r="F172" s="46">
        <v>4</v>
      </c>
      <c r="G172" s="34"/>
      <c r="H172" s="46" t="s">
        <v>332</v>
      </c>
      <c r="I172" s="46">
        <v>1</v>
      </c>
      <c r="J172" s="46">
        <v>4</v>
      </c>
      <c r="K172" s="49" t="s">
        <v>139</v>
      </c>
      <c r="L172" s="63" t="s">
        <v>40</v>
      </c>
      <c r="M172" s="63" t="s">
        <v>35</v>
      </c>
      <c r="N172" s="63" t="s">
        <v>513</v>
      </c>
      <c r="O172" s="63">
        <v>2012</v>
      </c>
      <c r="P172" s="63" t="s">
        <v>857</v>
      </c>
      <c r="Q172" s="63" t="s">
        <v>35</v>
      </c>
      <c r="R172" s="49">
        <v>1</v>
      </c>
      <c r="S172" s="179">
        <v>25</v>
      </c>
      <c r="T172" s="179"/>
      <c r="U172" s="179"/>
      <c r="V172" s="179"/>
      <c r="W172" s="179"/>
      <c r="X172" s="179"/>
      <c r="Y172" s="179"/>
      <c r="Z172" s="179" t="s">
        <v>29</v>
      </c>
      <c r="AA172" s="179" t="s">
        <v>35</v>
      </c>
      <c r="AB172" s="179" t="s">
        <v>35</v>
      </c>
      <c r="AC172" s="46" t="s">
        <v>87</v>
      </c>
      <c r="AD172" s="46" t="s">
        <v>27</v>
      </c>
      <c r="AE172" s="46" t="s">
        <v>89</v>
      </c>
      <c r="AF172" s="46" t="s">
        <v>29</v>
      </c>
      <c r="AG172" s="52">
        <v>16317</v>
      </c>
      <c r="AH172" s="52">
        <v>13395</v>
      </c>
      <c r="AI172" s="52">
        <v>12286</v>
      </c>
      <c r="AJ172" s="52">
        <v>35.97</v>
      </c>
      <c r="AK172" s="174">
        <v>71.94</v>
      </c>
      <c r="AL172" s="52">
        <v>51.09</v>
      </c>
      <c r="AM172" s="52">
        <v>51.09</v>
      </c>
      <c r="AN172" s="179">
        <v>47.2</v>
      </c>
      <c r="AO172" s="179">
        <v>37.14</v>
      </c>
      <c r="AP172" s="177">
        <v>2922</v>
      </c>
      <c r="AQ172" s="102">
        <v>17.899999999999999</v>
      </c>
      <c r="AR172" s="102">
        <v>118</v>
      </c>
      <c r="AS172" s="102">
        <v>0.9</v>
      </c>
      <c r="AT172" s="102"/>
      <c r="AU172" s="102"/>
      <c r="AV172" s="102">
        <v>10</v>
      </c>
      <c r="AW172" s="102">
        <v>0.1</v>
      </c>
      <c r="AX172" s="177">
        <v>3637</v>
      </c>
      <c r="AY172" s="102">
        <v>27.2</v>
      </c>
      <c r="AZ172" s="177">
        <v>2439</v>
      </c>
      <c r="BA172" s="102">
        <v>18.2</v>
      </c>
      <c r="BB172" s="102">
        <v>1198</v>
      </c>
      <c r="BC172" s="102">
        <v>8.9</v>
      </c>
      <c r="BD172" s="102">
        <v>339</v>
      </c>
      <c r="BE172" s="102">
        <v>2.5</v>
      </c>
      <c r="BF172" s="102">
        <v>4024</v>
      </c>
      <c r="BG172" s="102">
        <v>30</v>
      </c>
      <c r="BH172" s="177">
        <v>1119</v>
      </c>
      <c r="BI172" s="179">
        <v>7.7</v>
      </c>
      <c r="BJ172" s="179"/>
      <c r="BK172" s="179"/>
      <c r="BL172" s="102">
        <v>1009</v>
      </c>
      <c r="BM172" s="102">
        <v>7.6</v>
      </c>
      <c r="BN172" s="105"/>
      <c r="BO172" s="179"/>
      <c r="BP172" s="179"/>
      <c r="BQ172" s="179"/>
      <c r="BR172" s="92" t="s">
        <v>967</v>
      </c>
      <c r="BS172" s="179" t="s">
        <v>35</v>
      </c>
      <c r="BT172" s="45" t="str">
        <f t="shared" si="81"/>
        <v>Yes</v>
      </c>
      <c r="BU172" s="45" t="str">
        <f t="shared" si="82"/>
        <v>Yes</v>
      </c>
      <c r="BV172" s="45" t="str">
        <f t="shared" si="83"/>
        <v>Yes</v>
      </c>
      <c r="BW172" s="179"/>
      <c r="BX172" s="179"/>
      <c r="BY172" s="179"/>
      <c r="BZ172" s="179"/>
      <c r="CA172" s="179"/>
      <c r="CB172" s="179"/>
      <c r="CC172" s="46" t="s">
        <v>490</v>
      </c>
      <c r="CD172" s="46" t="s">
        <v>71</v>
      </c>
      <c r="CE172" s="46" t="s">
        <v>783</v>
      </c>
      <c r="CF172" s="46">
        <v>1</v>
      </c>
      <c r="CG172" s="179"/>
      <c r="CH172" s="179"/>
      <c r="CI172" s="179"/>
      <c r="CJ172" s="179"/>
      <c r="CK172" s="179"/>
      <c r="CL172" s="179"/>
      <c r="CM172" s="179"/>
      <c r="CN172" s="179"/>
      <c r="CO172" s="179"/>
      <c r="CP172" s="179"/>
      <c r="CQ172" s="179"/>
      <c r="CR172" s="179"/>
      <c r="CS172" s="179"/>
      <c r="CT172" s="179"/>
      <c r="CU172" s="179"/>
      <c r="CV172" s="179"/>
      <c r="CW172" s="179"/>
      <c r="CX172" s="179"/>
      <c r="CY172" s="179"/>
      <c r="CZ172" s="179"/>
      <c r="DA172" s="179"/>
      <c r="DB172" s="179"/>
      <c r="DC172" s="179"/>
      <c r="DD172" s="179"/>
      <c r="DE172" s="179"/>
      <c r="DF172" s="179"/>
      <c r="DG172" s="179"/>
      <c r="DH172" s="179"/>
      <c r="DI172" s="179"/>
      <c r="DJ172" s="179"/>
      <c r="DK172" s="34"/>
      <c r="DL172" s="179"/>
      <c r="DM172" s="179"/>
      <c r="DN172" s="179"/>
      <c r="DO172" s="179"/>
      <c r="DP172" s="179"/>
      <c r="DQ172" s="179"/>
      <c r="DR172" s="179"/>
      <c r="DS172" s="179"/>
      <c r="DT172" s="179"/>
      <c r="DU172" s="179"/>
      <c r="DV172" s="179"/>
      <c r="DW172" s="179"/>
      <c r="DX172" s="179"/>
      <c r="DY172" s="179"/>
      <c r="DZ172" s="179"/>
    </row>
    <row r="173" spans="1:130" s="5" customFormat="1" ht="14.25" hidden="1" customHeight="1">
      <c r="A173" s="45">
        <v>2020</v>
      </c>
      <c r="B173" s="46" t="s">
        <v>110</v>
      </c>
      <c r="C173" s="47">
        <v>2016</v>
      </c>
      <c r="D173" s="47" t="s">
        <v>3136</v>
      </c>
      <c r="E173" s="46" t="s">
        <v>83</v>
      </c>
      <c r="F173" s="46">
        <v>4</v>
      </c>
      <c r="G173" s="34"/>
      <c r="H173" s="46" t="s">
        <v>332</v>
      </c>
      <c r="I173" s="46">
        <v>1</v>
      </c>
      <c r="J173" s="46">
        <v>2</v>
      </c>
      <c r="K173" s="49" t="s">
        <v>142</v>
      </c>
      <c r="L173" s="49" t="s">
        <v>30</v>
      </c>
      <c r="M173" s="49" t="s">
        <v>29</v>
      </c>
      <c r="N173" s="49" t="s">
        <v>513</v>
      </c>
      <c r="O173" s="49">
        <v>2012</v>
      </c>
      <c r="P173" s="63" t="s">
        <v>201</v>
      </c>
      <c r="Q173" s="63" t="s">
        <v>35</v>
      </c>
      <c r="R173" s="49">
        <v>0</v>
      </c>
      <c r="S173" s="179">
        <v>0</v>
      </c>
      <c r="T173" s="179"/>
      <c r="U173" s="179"/>
      <c r="V173" s="179"/>
      <c r="W173" s="179">
        <v>0</v>
      </c>
      <c r="X173" s="179">
        <v>0</v>
      </c>
      <c r="Y173" s="179" t="s">
        <v>29</v>
      </c>
      <c r="Z173" s="179" t="s">
        <v>29</v>
      </c>
      <c r="AA173" s="179" t="s">
        <v>35</v>
      </c>
      <c r="AB173" s="179" t="s">
        <v>29</v>
      </c>
      <c r="AC173" s="46" t="s">
        <v>72</v>
      </c>
      <c r="AD173" s="46" t="s">
        <v>27</v>
      </c>
      <c r="AE173" s="46" t="s">
        <v>89</v>
      </c>
      <c r="AF173" s="46" t="s">
        <v>29</v>
      </c>
      <c r="AG173" s="52">
        <v>17469</v>
      </c>
      <c r="AH173" s="52">
        <v>14930</v>
      </c>
      <c r="AI173" s="52">
        <v>14930</v>
      </c>
      <c r="AJ173" s="52">
        <v>66.739999999999995</v>
      </c>
      <c r="AK173" s="174">
        <v>133.47999999999999</v>
      </c>
      <c r="AL173" s="52">
        <v>66.739999999999995</v>
      </c>
      <c r="AM173" s="52">
        <v>66.739999999999995</v>
      </c>
      <c r="AN173" s="179">
        <v>66.739999999999995</v>
      </c>
      <c r="AO173" s="179">
        <v>33.26</v>
      </c>
      <c r="AP173" s="177">
        <v>2468</v>
      </c>
      <c r="AQ173" s="102">
        <v>14.1</v>
      </c>
      <c r="AR173" s="102">
        <v>96</v>
      </c>
      <c r="AS173" s="102">
        <v>0.6</v>
      </c>
      <c r="AT173" s="102"/>
      <c r="AU173" s="102"/>
      <c r="AV173" s="179"/>
      <c r="AW173" s="179"/>
      <c r="AX173" s="177">
        <v>8574</v>
      </c>
      <c r="AY173" s="102">
        <v>57.2</v>
      </c>
      <c r="AZ173" s="177">
        <v>4740</v>
      </c>
      <c r="BA173" s="102">
        <v>31.6</v>
      </c>
      <c r="BB173" s="102">
        <v>3834</v>
      </c>
      <c r="BC173" s="102">
        <v>25.6</v>
      </c>
      <c r="BD173" s="102">
        <v>533</v>
      </c>
      <c r="BE173" s="102">
        <v>3.6</v>
      </c>
      <c r="BF173" s="102">
        <v>9043</v>
      </c>
      <c r="BG173" s="102">
        <v>60.3</v>
      </c>
      <c r="BH173" s="177"/>
      <c r="BI173" s="179"/>
      <c r="BJ173" s="179"/>
      <c r="BK173" s="179"/>
      <c r="BL173" s="179"/>
      <c r="BM173" s="179"/>
      <c r="BN173" s="108"/>
      <c r="BO173" s="179"/>
      <c r="BP173" s="179"/>
      <c r="BQ173" s="179"/>
      <c r="BR173" s="92" t="s">
        <v>967</v>
      </c>
      <c r="BS173" s="179" t="s">
        <v>29</v>
      </c>
      <c r="BT173" s="45" t="str">
        <f t="shared" si="81"/>
        <v>No</v>
      </c>
      <c r="BU173" s="45" t="str">
        <f t="shared" si="82"/>
        <v>No</v>
      </c>
      <c r="BV173" s="45" t="str">
        <f t="shared" si="83"/>
        <v>No</v>
      </c>
      <c r="BW173" s="179"/>
      <c r="BX173" s="179"/>
      <c r="BY173" s="179"/>
      <c r="BZ173" s="179"/>
      <c r="CA173" s="179"/>
      <c r="CB173" s="179"/>
      <c r="CC173" s="46" t="s">
        <v>490</v>
      </c>
      <c r="CD173" s="46" t="s">
        <v>71</v>
      </c>
      <c r="CE173" s="46" t="s">
        <v>783</v>
      </c>
      <c r="CF173" s="46">
        <v>1</v>
      </c>
      <c r="CG173" s="179"/>
      <c r="CH173" s="179"/>
      <c r="CI173" s="179"/>
      <c r="CJ173" s="179"/>
      <c r="CK173" s="179"/>
      <c r="CL173" s="179"/>
      <c r="CM173" s="179"/>
      <c r="CN173" s="179"/>
      <c r="CO173" s="179"/>
      <c r="CP173" s="179"/>
      <c r="CQ173" s="179"/>
      <c r="CR173" s="179"/>
      <c r="CS173" s="179"/>
      <c r="CT173" s="179"/>
      <c r="CU173" s="179"/>
      <c r="CV173" s="179"/>
      <c r="CW173" s="179"/>
      <c r="CX173" s="179"/>
      <c r="CY173" s="179"/>
      <c r="CZ173" s="179"/>
      <c r="DA173" s="179"/>
      <c r="DB173" s="179"/>
      <c r="DC173" s="179"/>
      <c r="DD173" s="179"/>
      <c r="DE173" s="179"/>
      <c r="DF173" s="179"/>
      <c r="DG173" s="179"/>
      <c r="DH173" s="179"/>
      <c r="DI173" s="179"/>
      <c r="DJ173" s="179"/>
      <c r="DK173" s="34"/>
      <c r="DL173" s="179"/>
      <c r="DM173" s="179"/>
      <c r="DN173" s="179"/>
      <c r="DO173" s="179"/>
      <c r="DP173" s="179"/>
      <c r="DQ173" s="179"/>
      <c r="DR173" s="179"/>
      <c r="DS173" s="179"/>
      <c r="DT173" s="179"/>
      <c r="DU173" s="179"/>
      <c r="DV173" s="179"/>
      <c r="DW173" s="179"/>
      <c r="DX173" s="179"/>
      <c r="DY173" s="179"/>
      <c r="DZ173" s="179"/>
    </row>
    <row r="174" spans="1:130" s="5" customFormat="1" ht="14.25" hidden="1" customHeight="1">
      <c r="A174" s="45">
        <v>1185</v>
      </c>
      <c r="B174" s="46" t="s">
        <v>177</v>
      </c>
      <c r="C174" s="47">
        <v>1999</v>
      </c>
      <c r="D174" s="47" t="s">
        <v>21</v>
      </c>
      <c r="E174" s="46" t="s">
        <v>22</v>
      </c>
      <c r="F174" s="46">
        <v>4</v>
      </c>
      <c r="G174" s="48">
        <v>17000</v>
      </c>
      <c r="H174" s="46" t="s">
        <v>332</v>
      </c>
      <c r="I174" s="46">
        <v>5</v>
      </c>
      <c r="J174" s="46">
        <v>12</v>
      </c>
      <c r="K174" s="49" t="s">
        <v>209</v>
      </c>
      <c r="L174" s="49" t="s">
        <v>30</v>
      </c>
      <c r="M174" s="49" t="s">
        <v>29</v>
      </c>
      <c r="N174" s="49" t="s">
        <v>513</v>
      </c>
      <c r="O174" s="49"/>
      <c r="P174" s="49" t="s">
        <v>208</v>
      </c>
      <c r="Q174" s="49" t="s">
        <v>29</v>
      </c>
      <c r="R174" s="49">
        <v>3</v>
      </c>
      <c r="S174" s="50">
        <f t="shared" ref="S174:S205" si="84">(R174/J174)*100</f>
        <v>25</v>
      </c>
      <c r="T174" s="49">
        <v>6</v>
      </c>
      <c r="U174" s="50">
        <f t="shared" ref="U174:U205" si="85">(T174/J174)*100</f>
        <v>50</v>
      </c>
      <c r="V174" s="49" t="s">
        <v>872</v>
      </c>
      <c r="W174" s="49">
        <v>2</v>
      </c>
      <c r="X174" s="50">
        <f t="shared" ref="X174:X205" si="86">(W174/J174)*100</f>
        <v>16.666666666666664</v>
      </c>
      <c r="Y174" s="51" t="str">
        <f t="shared" ref="Y174:Y205" si="87">IF(L174="M","No", IF(P174="n/a","No",IF(P174="white","No","Yes")))</f>
        <v>No</v>
      </c>
      <c r="Z174" s="45" t="s">
        <v>29</v>
      </c>
      <c r="AA174" s="49" t="s">
        <v>29</v>
      </c>
      <c r="AB174" s="49" t="s">
        <v>29</v>
      </c>
      <c r="AC174" s="46" t="s">
        <v>26</v>
      </c>
      <c r="AD174" s="46" t="s">
        <v>27</v>
      </c>
      <c r="AE174" s="46" t="s">
        <v>164</v>
      </c>
      <c r="AF174" s="46" t="s">
        <v>29</v>
      </c>
      <c r="AG174" s="103"/>
      <c r="AH174" s="52">
        <v>55310</v>
      </c>
      <c r="AI174" s="52">
        <v>55310</v>
      </c>
      <c r="AJ174" s="102">
        <v>9.4</v>
      </c>
      <c r="AK174" s="104">
        <v>56.400000000000006</v>
      </c>
      <c r="AL174" s="102">
        <v>9.4</v>
      </c>
      <c r="AM174" s="102"/>
      <c r="AN174" s="53">
        <f t="shared" ref="AN174:AN205" si="88">AL174/(1/(I174+1))</f>
        <v>56.400000000000006</v>
      </c>
      <c r="AO174" s="53">
        <v>9.06</v>
      </c>
      <c r="AP174" s="102"/>
      <c r="AQ174" s="102"/>
      <c r="AR174" s="102"/>
      <c r="AS174" s="102"/>
      <c r="AT174" s="102"/>
      <c r="AU174" s="102"/>
      <c r="AV174" s="102"/>
      <c r="AW174" s="102"/>
      <c r="AX174" s="102"/>
      <c r="AY174" s="102"/>
      <c r="AZ174" s="102"/>
      <c r="BA174" s="102"/>
      <c r="BB174" s="102"/>
      <c r="BC174" s="102"/>
      <c r="BD174" s="102"/>
      <c r="BE174" s="102"/>
      <c r="BF174" s="102"/>
      <c r="BG174" s="102"/>
      <c r="BH174" s="102"/>
      <c r="BI174" s="102"/>
      <c r="BJ174" s="102"/>
      <c r="BK174" s="102"/>
      <c r="BL174" s="102"/>
      <c r="BM174" s="102"/>
      <c r="BN174" s="102"/>
      <c r="BO174" s="102"/>
      <c r="BP174" s="102"/>
      <c r="BQ174" s="102"/>
      <c r="BR174" s="102"/>
      <c r="BS174" s="54" t="s">
        <v>23</v>
      </c>
      <c r="BT174" s="45" t="str">
        <f t="shared" si="81"/>
        <v>Yes</v>
      </c>
      <c r="BU174" s="45" t="str">
        <f t="shared" si="82"/>
        <v>Yes</v>
      </c>
      <c r="BV174" s="45" t="str">
        <f t="shared" si="83"/>
        <v>Yes</v>
      </c>
      <c r="BW174" s="55">
        <f t="shared" ref="BW174:BX183" si="89">(24292/(24292+3657))*100</f>
        <v>86.915453146803102</v>
      </c>
      <c r="BX174" s="55">
        <f t="shared" si="89"/>
        <v>86.915453146803102</v>
      </c>
      <c r="BY174" s="55">
        <v>86.660453146803093</v>
      </c>
      <c r="BZ174" s="55">
        <f t="shared" ref="BZ174:BZ183" si="90">BX174-(0.0051*100/2)</f>
        <v>86.660453146803107</v>
      </c>
      <c r="CA174" s="45">
        <v>2000</v>
      </c>
      <c r="CB174" s="55">
        <f t="shared" ref="CB174:CB208" si="91">((AI174/I174)/DB174)*100</f>
        <v>18.840160095375968</v>
      </c>
      <c r="CC174" s="46" t="s">
        <v>178</v>
      </c>
      <c r="CD174" s="46" t="s">
        <v>179</v>
      </c>
      <c r="CE174" s="46" t="s">
        <v>179</v>
      </c>
      <c r="CF174" s="46">
        <v>1</v>
      </c>
      <c r="CG174" s="46" t="str">
        <f t="shared" ref="CG174:CG205" si="92">IF(CD174="Primary (decisive)", "Yes", "No")</f>
        <v>No</v>
      </c>
      <c r="CH174" s="46" t="s">
        <v>29</v>
      </c>
      <c r="CI174" s="56">
        <v>300</v>
      </c>
      <c r="CJ174" s="46" t="s">
        <v>180</v>
      </c>
      <c r="CK174" s="46" t="s">
        <v>23</v>
      </c>
      <c r="CL174" s="49" t="s">
        <v>29</v>
      </c>
      <c r="CM174" s="50">
        <v>0</v>
      </c>
      <c r="CN174" s="50"/>
      <c r="CO174" s="50"/>
      <c r="CP174" s="46" t="s">
        <v>23</v>
      </c>
      <c r="CQ174" s="46" t="s">
        <v>24</v>
      </c>
      <c r="CR174" s="46">
        <v>9</v>
      </c>
      <c r="CS174" s="46" t="s">
        <v>854</v>
      </c>
      <c r="CT174" s="46" t="s">
        <v>53</v>
      </c>
      <c r="CU174" s="46" t="s">
        <v>29</v>
      </c>
      <c r="CV174" s="46" t="s">
        <v>23</v>
      </c>
      <c r="CW174" s="46" t="s">
        <v>23</v>
      </c>
      <c r="CX174" s="49"/>
      <c r="CY174" s="49"/>
      <c r="CZ174" s="49">
        <v>0</v>
      </c>
      <c r="DA174" s="49">
        <v>0</v>
      </c>
      <c r="DB174" s="64">
        <v>58715</v>
      </c>
      <c r="DC174" s="58">
        <v>30.4</v>
      </c>
      <c r="DD174" s="58">
        <v>41.27</v>
      </c>
      <c r="DE174" s="58">
        <v>13.170000000000002</v>
      </c>
      <c r="DF174" s="58">
        <v>10.93</v>
      </c>
      <c r="DG174" s="58">
        <v>4.2300000000000004</v>
      </c>
      <c r="DH174" s="58">
        <v>69.599999999999994</v>
      </c>
      <c r="DI174" s="45" t="s">
        <v>35</v>
      </c>
      <c r="DJ174" s="59" t="str">
        <f t="shared" ref="DJ174:DJ208" si="93">IF(DH174&lt;50,"N/A",IF(DD174&gt;50,"African American",IF(DE174&gt;50,"Latino",IF(DF174&gt;50,"Asian","No single majority group"))))</f>
        <v>No single majority group</v>
      </c>
      <c r="DK174" s="65">
        <v>58715</v>
      </c>
      <c r="DL174" s="58">
        <v>30.4</v>
      </c>
      <c r="DM174" s="58">
        <v>41.27</v>
      </c>
      <c r="DN174" s="58">
        <v>13.170000000000002</v>
      </c>
      <c r="DO174" s="58">
        <v>69.599999999999994</v>
      </c>
      <c r="DP174" s="66">
        <v>51.4</v>
      </c>
      <c r="DQ174" s="67">
        <v>60778.74</v>
      </c>
      <c r="DR174" s="53">
        <v>16.2</v>
      </c>
      <c r="DS174" s="58">
        <v>67.7</v>
      </c>
      <c r="DT174" s="53">
        <v>53.3</v>
      </c>
      <c r="DU174" s="55">
        <v>2.82</v>
      </c>
      <c r="DV174" s="50">
        <v>32.799999999999997</v>
      </c>
      <c r="DW174" s="53">
        <v>75.400000000000006</v>
      </c>
      <c r="DX174" s="53">
        <v>85.3262</v>
      </c>
      <c r="DY174" s="53">
        <v>42.507300000000001</v>
      </c>
      <c r="DZ174" s="63"/>
    </row>
    <row r="175" spans="1:130" s="5" customFormat="1" ht="14.25" hidden="1" customHeight="1">
      <c r="A175" s="45">
        <v>1186</v>
      </c>
      <c r="B175" s="46" t="s">
        <v>177</v>
      </c>
      <c r="C175" s="47">
        <v>1999</v>
      </c>
      <c r="D175" s="47" t="s">
        <v>21</v>
      </c>
      <c r="E175" s="46" t="s">
        <v>22</v>
      </c>
      <c r="F175" s="46">
        <v>4</v>
      </c>
      <c r="G175" s="48">
        <v>17000</v>
      </c>
      <c r="H175" s="46" t="s">
        <v>332</v>
      </c>
      <c r="I175" s="46">
        <v>5</v>
      </c>
      <c r="J175" s="46">
        <v>12</v>
      </c>
      <c r="K175" s="49" t="s">
        <v>189</v>
      </c>
      <c r="L175" s="49" t="s">
        <v>30</v>
      </c>
      <c r="M175" s="49" t="s">
        <v>29</v>
      </c>
      <c r="N175" s="49" t="s">
        <v>513</v>
      </c>
      <c r="O175" s="49"/>
      <c r="P175" s="49" t="s">
        <v>201</v>
      </c>
      <c r="Q175" s="49" t="s">
        <v>35</v>
      </c>
      <c r="R175" s="49">
        <v>3</v>
      </c>
      <c r="S175" s="50">
        <f t="shared" si="84"/>
        <v>25</v>
      </c>
      <c r="T175" s="49">
        <v>6</v>
      </c>
      <c r="U175" s="50">
        <f t="shared" si="85"/>
        <v>50</v>
      </c>
      <c r="V175" s="49" t="s">
        <v>872</v>
      </c>
      <c r="W175" s="49">
        <v>2</v>
      </c>
      <c r="X175" s="50">
        <f t="shared" si="86"/>
        <v>16.666666666666664</v>
      </c>
      <c r="Y175" s="51" t="str">
        <f t="shared" si="87"/>
        <v>No</v>
      </c>
      <c r="Z175" s="45" t="s">
        <v>29</v>
      </c>
      <c r="AA175" s="49" t="s">
        <v>35</v>
      </c>
      <c r="AB175" s="49" t="s">
        <v>29</v>
      </c>
      <c r="AC175" s="46" t="s">
        <v>26</v>
      </c>
      <c r="AD175" s="46" t="s">
        <v>27</v>
      </c>
      <c r="AE175" s="46" t="s">
        <v>164</v>
      </c>
      <c r="AF175" s="46" t="s">
        <v>29</v>
      </c>
      <c r="AG175" s="103"/>
      <c r="AH175" s="52">
        <v>55310</v>
      </c>
      <c r="AI175" s="52">
        <v>55310</v>
      </c>
      <c r="AJ175" s="102">
        <v>9.5299999999999994</v>
      </c>
      <c r="AK175" s="104">
        <v>57.18</v>
      </c>
      <c r="AL175" s="102">
        <v>9.5299999999999994</v>
      </c>
      <c r="AM175" s="102"/>
      <c r="AN175" s="53">
        <f t="shared" si="88"/>
        <v>57.18</v>
      </c>
      <c r="AO175" s="53">
        <v>9.06</v>
      </c>
      <c r="AP175" s="102"/>
      <c r="AQ175" s="102"/>
      <c r="AR175" s="102"/>
      <c r="AS175" s="102"/>
      <c r="AT175" s="102"/>
      <c r="AU175" s="102"/>
      <c r="AV175" s="102"/>
      <c r="AW175" s="102"/>
      <c r="AX175" s="102"/>
      <c r="AY175" s="102"/>
      <c r="AZ175" s="102"/>
      <c r="BA175" s="102"/>
      <c r="BB175" s="102"/>
      <c r="BC175" s="102"/>
      <c r="BD175" s="102"/>
      <c r="BE175" s="102"/>
      <c r="BF175" s="102"/>
      <c r="BG175" s="102"/>
      <c r="BH175" s="102"/>
      <c r="BI175" s="102"/>
      <c r="BJ175" s="102"/>
      <c r="BK175" s="102"/>
      <c r="BL175" s="102"/>
      <c r="BM175" s="102"/>
      <c r="BN175" s="102"/>
      <c r="BO175" s="102"/>
      <c r="BP175" s="102"/>
      <c r="BQ175" s="102"/>
      <c r="BR175" s="102"/>
      <c r="BS175" s="54" t="s">
        <v>23</v>
      </c>
      <c r="BT175" s="45" t="str">
        <f t="shared" si="81"/>
        <v>Yes</v>
      </c>
      <c r="BU175" s="45" t="str">
        <f t="shared" si="82"/>
        <v>Yes</v>
      </c>
      <c r="BV175" s="45" t="str">
        <f t="shared" si="83"/>
        <v>Yes</v>
      </c>
      <c r="BW175" s="55">
        <f t="shared" si="89"/>
        <v>86.915453146803102</v>
      </c>
      <c r="BX175" s="55">
        <f t="shared" si="89"/>
        <v>86.915453146803102</v>
      </c>
      <c r="BY175" s="55">
        <v>86.660453146803093</v>
      </c>
      <c r="BZ175" s="55">
        <f t="shared" si="90"/>
        <v>86.660453146803107</v>
      </c>
      <c r="CA175" s="45">
        <v>2000</v>
      </c>
      <c r="CB175" s="55">
        <f t="shared" si="91"/>
        <v>18.840160095375968</v>
      </c>
      <c r="CC175" s="46" t="s">
        <v>178</v>
      </c>
      <c r="CD175" s="46" t="s">
        <v>179</v>
      </c>
      <c r="CE175" s="46" t="s">
        <v>179</v>
      </c>
      <c r="CF175" s="46">
        <v>1</v>
      </c>
      <c r="CG175" s="46" t="str">
        <f t="shared" si="92"/>
        <v>No</v>
      </c>
      <c r="CH175" s="46" t="s">
        <v>29</v>
      </c>
      <c r="CI175" s="56">
        <v>300</v>
      </c>
      <c r="CJ175" s="46" t="s">
        <v>180</v>
      </c>
      <c r="CK175" s="46" t="s">
        <v>23</v>
      </c>
      <c r="CL175" s="49" t="s">
        <v>29</v>
      </c>
      <c r="CM175" s="50">
        <v>0</v>
      </c>
      <c r="CN175" s="50"/>
      <c r="CO175" s="50"/>
      <c r="CP175" s="46" t="s">
        <v>23</v>
      </c>
      <c r="CQ175" s="46" t="s">
        <v>24</v>
      </c>
      <c r="CR175" s="46">
        <v>9</v>
      </c>
      <c r="CS175" s="46" t="s">
        <v>854</v>
      </c>
      <c r="CT175" s="46" t="s">
        <v>53</v>
      </c>
      <c r="CU175" s="46" t="s">
        <v>29</v>
      </c>
      <c r="CV175" s="46" t="s">
        <v>23</v>
      </c>
      <c r="CW175" s="46" t="s">
        <v>23</v>
      </c>
      <c r="CX175" s="49"/>
      <c r="CY175" s="49"/>
      <c r="CZ175" s="49">
        <v>0</v>
      </c>
      <c r="DA175" s="49">
        <v>0</v>
      </c>
      <c r="DB175" s="64">
        <v>58715</v>
      </c>
      <c r="DC175" s="58">
        <v>30.4</v>
      </c>
      <c r="DD175" s="58">
        <v>41.27</v>
      </c>
      <c r="DE175" s="58">
        <v>13.170000000000002</v>
      </c>
      <c r="DF175" s="58">
        <v>10.93</v>
      </c>
      <c r="DG175" s="58">
        <v>4.2300000000000004</v>
      </c>
      <c r="DH175" s="58">
        <v>69.599999999999994</v>
      </c>
      <c r="DI175" s="45" t="s">
        <v>35</v>
      </c>
      <c r="DJ175" s="59" t="str">
        <f t="shared" si="93"/>
        <v>No single majority group</v>
      </c>
      <c r="DK175" s="65">
        <v>58715</v>
      </c>
      <c r="DL175" s="58">
        <v>30.4</v>
      </c>
      <c r="DM175" s="58">
        <v>41.27</v>
      </c>
      <c r="DN175" s="58">
        <v>13.170000000000002</v>
      </c>
      <c r="DO175" s="58">
        <v>69.599999999999994</v>
      </c>
      <c r="DP175" s="66">
        <v>51.4</v>
      </c>
      <c r="DQ175" s="67">
        <v>60778.74</v>
      </c>
      <c r="DR175" s="53">
        <v>16.2</v>
      </c>
      <c r="DS175" s="58">
        <v>67.7</v>
      </c>
      <c r="DT175" s="53">
        <v>53.3</v>
      </c>
      <c r="DU175" s="55">
        <v>2.82</v>
      </c>
      <c r="DV175" s="50">
        <v>32.799999999999997</v>
      </c>
      <c r="DW175" s="53">
        <v>75.400000000000006</v>
      </c>
      <c r="DX175" s="53">
        <v>85.3262</v>
      </c>
      <c r="DY175" s="53">
        <v>42.507300000000001</v>
      </c>
      <c r="DZ175" s="63"/>
    </row>
    <row r="176" spans="1:130" s="5" customFormat="1" ht="14.25" hidden="1" customHeight="1">
      <c r="A176" s="45">
        <v>1187</v>
      </c>
      <c r="B176" s="46" t="s">
        <v>177</v>
      </c>
      <c r="C176" s="47">
        <v>1999</v>
      </c>
      <c r="D176" s="47" t="s">
        <v>21</v>
      </c>
      <c r="E176" s="46" t="s">
        <v>22</v>
      </c>
      <c r="F176" s="46">
        <v>4</v>
      </c>
      <c r="G176" s="48">
        <v>17000</v>
      </c>
      <c r="H176" s="46" t="s">
        <v>332</v>
      </c>
      <c r="I176" s="46">
        <v>5</v>
      </c>
      <c r="J176" s="46">
        <v>12</v>
      </c>
      <c r="K176" s="49" t="s">
        <v>188</v>
      </c>
      <c r="L176" s="49" t="s">
        <v>30</v>
      </c>
      <c r="M176" s="49" t="s">
        <v>29</v>
      </c>
      <c r="N176" s="49" t="s">
        <v>512</v>
      </c>
      <c r="O176" s="49"/>
      <c r="P176" s="49" t="s">
        <v>201</v>
      </c>
      <c r="Q176" s="49" t="s">
        <v>35</v>
      </c>
      <c r="R176" s="49">
        <v>3</v>
      </c>
      <c r="S176" s="50">
        <f t="shared" si="84"/>
        <v>25</v>
      </c>
      <c r="T176" s="49">
        <v>6</v>
      </c>
      <c r="U176" s="50">
        <f t="shared" si="85"/>
        <v>50</v>
      </c>
      <c r="V176" s="49" t="s">
        <v>872</v>
      </c>
      <c r="W176" s="49">
        <v>2</v>
      </c>
      <c r="X176" s="50">
        <f t="shared" si="86"/>
        <v>16.666666666666664</v>
      </c>
      <c r="Y176" s="51" t="str">
        <f t="shared" si="87"/>
        <v>No</v>
      </c>
      <c r="Z176" s="45" t="s">
        <v>35</v>
      </c>
      <c r="AA176" s="45" t="s">
        <v>23</v>
      </c>
      <c r="AB176" s="45" t="s">
        <v>23</v>
      </c>
      <c r="AC176" s="46" t="s">
        <v>26</v>
      </c>
      <c r="AD176" s="46" t="s">
        <v>27</v>
      </c>
      <c r="AE176" s="46" t="s">
        <v>164</v>
      </c>
      <c r="AF176" s="46" t="s">
        <v>29</v>
      </c>
      <c r="AG176" s="103"/>
      <c r="AH176" s="52">
        <v>55310</v>
      </c>
      <c r="AI176" s="52">
        <v>55310</v>
      </c>
      <c r="AJ176" s="102">
        <v>9.6199999999999992</v>
      </c>
      <c r="AK176" s="104">
        <v>57.72</v>
      </c>
      <c r="AL176" s="102">
        <v>9.6199999999999992</v>
      </c>
      <c r="AM176" s="102"/>
      <c r="AN176" s="53">
        <f t="shared" si="88"/>
        <v>57.72</v>
      </c>
      <c r="AO176" s="53">
        <v>9.06</v>
      </c>
      <c r="AP176" s="102"/>
      <c r="AQ176" s="102"/>
      <c r="AR176" s="102"/>
      <c r="AS176" s="102"/>
      <c r="AT176" s="102"/>
      <c r="AU176" s="102"/>
      <c r="AV176" s="102"/>
      <c r="AW176" s="102"/>
      <c r="AX176" s="102"/>
      <c r="AY176" s="102"/>
      <c r="AZ176" s="102"/>
      <c r="BA176" s="102"/>
      <c r="BB176" s="102"/>
      <c r="BC176" s="102"/>
      <c r="BD176" s="102"/>
      <c r="BE176" s="102"/>
      <c r="BF176" s="102"/>
      <c r="BG176" s="102"/>
      <c r="BH176" s="102"/>
      <c r="BI176" s="102"/>
      <c r="BJ176" s="102"/>
      <c r="BK176" s="102"/>
      <c r="BL176" s="102"/>
      <c r="BM176" s="102"/>
      <c r="BN176" s="102"/>
      <c r="BO176" s="102"/>
      <c r="BP176" s="102"/>
      <c r="BQ176" s="102"/>
      <c r="BR176" s="102"/>
      <c r="BS176" s="54" t="s">
        <v>23</v>
      </c>
      <c r="BT176" s="45" t="str">
        <f t="shared" si="81"/>
        <v>Yes</v>
      </c>
      <c r="BU176" s="45" t="str">
        <f t="shared" si="82"/>
        <v>Yes</v>
      </c>
      <c r="BV176" s="45" t="str">
        <f t="shared" si="83"/>
        <v>Yes</v>
      </c>
      <c r="BW176" s="55">
        <f t="shared" si="89"/>
        <v>86.915453146803102</v>
      </c>
      <c r="BX176" s="55">
        <f t="shared" si="89"/>
        <v>86.915453146803102</v>
      </c>
      <c r="BY176" s="55">
        <v>86.660453146803093</v>
      </c>
      <c r="BZ176" s="55">
        <f t="shared" si="90"/>
        <v>86.660453146803107</v>
      </c>
      <c r="CA176" s="45">
        <v>2000</v>
      </c>
      <c r="CB176" s="55">
        <f t="shared" si="91"/>
        <v>18.840160095375968</v>
      </c>
      <c r="CC176" s="46" t="s">
        <v>178</v>
      </c>
      <c r="CD176" s="46" t="s">
        <v>179</v>
      </c>
      <c r="CE176" s="46" t="s">
        <v>179</v>
      </c>
      <c r="CF176" s="46">
        <v>1</v>
      </c>
      <c r="CG176" s="46" t="str">
        <f t="shared" si="92"/>
        <v>No</v>
      </c>
      <c r="CH176" s="46" t="s">
        <v>29</v>
      </c>
      <c r="CI176" s="56">
        <v>300</v>
      </c>
      <c r="CJ176" s="46" t="s">
        <v>180</v>
      </c>
      <c r="CK176" s="46" t="s">
        <v>23</v>
      </c>
      <c r="CL176" s="49" t="s">
        <v>29</v>
      </c>
      <c r="CM176" s="50">
        <v>0</v>
      </c>
      <c r="CN176" s="50"/>
      <c r="CO176" s="50"/>
      <c r="CP176" s="46" t="s">
        <v>23</v>
      </c>
      <c r="CQ176" s="46" t="s">
        <v>24</v>
      </c>
      <c r="CR176" s="46">
        <v>9</v>
      </c>
      <c r="CS176" s="46" t="s">
        <v>854</v>
      </c>
      <c r="CT176" s="46" t="s">
        <v>53</v>
      </c>
      <c r="CU176" s="46" t="s">
        <v>29</v>
      </c>
      <c r="CV176" s="46" t="s">
        <v>23</v>
      </c>
      <c r="CW176" s="46" t="s">
        <v>23</v>
      </c>
      <c r="CX176" s="49"/>
      <c r="CY176" s="49"/>
      <c r="CZ176" s="49">
        <v>0</v>
      </c>
      <c r="DA176" s="49">
        <v>0</v>
      </c>
      <c r="DB176" s="64">
        <v>58715</v>
      </c>
      <c r="DC176" s="58">
        <v>30.4</v>
      </c>
      <c r="DD176" s="58">
        <v>41.27</v>
      </c>
      <c r="DE176" s="58">
        <v>13.170000000000002</v>
      </c>
      <c r="DF176" s="58">
        <v>10.93</v>
      </c>
      <c r="DG176" s="58">
        <v>4.2300000000000004</v>
      </c>
      <c r="DH176" s="58">
        <v>69.599999999999994</v>
      </c>
      <c r="DI176" s="45" t="s">
        <v>35</v>
      </c>
      <c r="DJ176" s="59" t="str">
        <f t="shared" si="93"/>
        <v>No single majority group</v>
      </c>
      <c r="DK176" s="65">
        <v>58715</v>
      </c>
      <c r="DL176" s="58">
        <v>30.4</v>
      </c>
      <c r="DM176" s="58">
        <v>41.27</v>
      </c>
      <c r="DN176" s="58">
        <v>13.170000000000002</v>
      </c>
      <c r="DO176" s="58">
        <v>69.599999999999994</v>
      </c>
      <c r="DP176" s="66">
        <v>51.4</v>
      </c>
      <c r="DQ176" s="67">
        <v>60778.74</v>
      </c>
      <c r="DR176" s="53">
        <v>16.2</v>
      </c>
      <c r="DS176" s="58">
        <v>67.7</v>
      </c>
      <c r="DT176" s="53">
        <v>53.3</v>
      </c>
      <c r="DU176" s="55">
        <v>2.82</v>
      </c>
      <c r="DV176" s="50">
        <v>32.799999999999997</v>
      </c>
      <c r="DW176" s="53">
        <v>75.400000000000006</v>
      </c>
      <c r="DX176" s="53">
        <v>85.3262</v>
      </c>
      <c r="DY176" s="53">
        <v>42.507300000000001</v>
      </c>
      <c r="DZ176" s="63"/>
    </row>
    <row r="177" spans="1:130" s="5" customFormat="1" ht="14.25" hidden="1" customHeight="1">
      <c r="A177" s="45">
        <v>1188</v>
      </c>
      <c r="B177" s="46" t="s">
        <v>177</v>
      </c>
      <c r="C177" s="47">
        <v>1999</v>
      </c>
      <c r="D177" s="47" t="s">
        <v>21</v>
      </c>
      <c r="E177" s="46" t="s">
        <v>22</v>
      </c>
      <c r="F177" s="46">
        <v>4</v>
      </c>
      <c r="G177" s="48">
        <v>17000</v>
      </c>
      <c r="H177" s="46" t="s">
        <v>332</v>
      </c>
      <c r="I177" s="46">
        <v>5</v>
      </c>
      <c r="J177" s="46">
        <v>12</v>
      </c>
      <c r="K177" s="49" t="s">
        <v>187</v>
      </c>
      <c r="L177" s="49" t="s">
        <v>30</v>
      </c>
      <c r="M177" s="49" t="s">
        <v>29</v>
      </c>
      <c r="N177" s="49" t="s">
        <v>513</v>
      </c>
      <c r="O177" s="49"/>
      <c r="P177" s="49" t="s">
        <v>31</v>
      </c>
      <c r="Q177" s="49" t="s">
        <v>29</v>
      </c>
      <c r="R177" s="49">
        <v>3</v>
      </c>
      <c r="S177" s="50">
        <f t="shared" si="84"/>
        <v>25</v>
      </c>
      <c r="T177" s="49">
        <v>6</v>
      </c>
      <c r="U177" s="50">
        <f t="shared" si="85"/>
        <v>50</v>
      </c>
      <c r="V177" s="49" t="s">
        <v>872</v>
      </c>
      <c r="W177" s="49">
        <v>2</v>
      </c>
      <c r="X177" s="50">
        <f t="shared" si="86"/>
        <v>16.666666666666664</v>
      </c>
      <c r="Y177" s="51" t="str">
        <f t="shared" si="87"/>
        <v>No</v>
      </c>
      <c r="Z177" s="45" t="s">
        <v>29</v>
      </c>
      <c r="AA177" s="49" t="s">
        <v>29</v>
      </c>
      <c r="AB177" s="49" t="s">
        <v>29</v>
      </c>
      <c r="AC177" s="46" t="s">
        <v>26</v>
      </c>
      <c r="AD177" s="46" t="s">
        <v>27</v>
      </c>
      <c r="AE177" s="46" t="s">
        <v>164</v>
      </c>
      <c r="AF177" s="46" t="s">
        <v>29</v>
      </c>
      <c r="AG177" s="103"/>
      <c r="AH177" s="52">
        <v>55310</v>
      </c>
      <c r="AI177" s="52">
        <v>55310</v>
      </c>
      <c r="AJ177" s="102">
        <v>10.5</v>
      </c>
      <c r="AK177" s="104">
        <v>63</v>
      </c>
      <c r="AL177" s="102">
        <v>10.5</v>
      </c>
      <c r="AM177" s="102"/>
      <c r="AN177" s="53">
        <f t="shared" si="88"/>
        <v>63</v>
      </c>
      <c r="AO177" s="53">
        <v>9.06</v>
      </c>
      <c r="AP177" s="102"/>
      <c r="AQ177" s="102"/>
      <c r="AR177" s="102"/>
      <c r="AS177" s="102"/>
      <c r="AT177" s="102"/>
      <c r="AU177" s="102"/>
      <c r="AV177" s="102"/>
      <c r="AW177" s="102"/>
      <c r="AX177" s="102"/>
      <c r="AY177" s="102"/>
      <c r="AZ177" s="102"/>
      <c r="BA177" s="102"/>
      <c r="BB177" s="102"/>
      <c r="BC177" s="102"/>
      <c r="BD177" s="102"/>
      <c r="BE177" s="102"/>
      <c r="BF177" s="102"/>
      <c r="BG177" s="102"/>
      <c r="BH177" s="102"/>
      <c r="BI177" s="102"/>
      <c r="BJ177" s="102"/>
      <c r="BK177" s="102"/>
      <c r="BL177" s="102"/>
      <c r="BM177" s="102"/>
      <c r="BN177" s="102"/>
      <c r="BO177" s="102"/>
      <c r="BP177" s="102"/>
      <c r="BQ177" s="102"/>
      <c r="BR177" s="102"/>
      <c r="BS177" s="54" t="s">
        <v>23</v>
      </c>
      <c r="BT177" s="45" t="str">
        <f t="shared" si="81"/>
        <v>Yes</v>
      </c>
      <c r="BU177" s="45" t="str">
        <f t="shared" si="82"/>
        <v>Yes</v>
      </c>
      <c r="BV177" s="45" t="str">
        <f t="shared" si="83"/>
        <v>No</v>
      </c>
      <c r="BW177" s="55">
        <f t="shared" si="89"/>
        <v>86.915453146803102</v>
      </c>
      <c r="BX177" s="55">
        <f t="shared" si="89"/>
        <v>86.915453146803102</v>
      </c>
      <c r="BY177" s="55">
        <v>86.660453146803093</v>
      </c>
      <c r="BZ177" s="55">
        <f t="shared" si="90"/>
        <v>86.660453146803107</v>
      </c>
      <c r="CA177" s="45">
        <v>2000</v>
      </c>
      <c r="CB177" s="55">
        <f t="shared" si="91"/>
        <v>18.840160095375968</v>
      </c>
      <c r="CC177" s="46" t="s">
        <v>178</v>
      </c>
      <c r="CD177" s="46" t="s">
        <v>179</v>
      </c>
      <c r="CE177" s="46" t="s">
        <v>179</v>
      </c>
      <c r="CF177" s="46">
        <v>1</v>
      </c>
      <c r="CG177" s="46" t="str">
        <f t="shared" si="92"/>
        <v>No</v>
      </c>
      <c r="CH177" s="46" t="s">
        <v>29</v>
      </c>
      <c r="CI177" s="56">
        <v>300</v>
      </c>
      <c r="CJ177" s="46" t="s">
        <v>180</v>
      </c>
      <c r="CK177" s="46" t="s">
        <v>23</v>
      </c>
      <c r="CL177" s="49" t="s">
        <v>29</v>
      </c>
      <c r="CM177" s="50">
        <v>0</v>
      </c>
      <c r="CN177" s="50"/>
      <c r="CO177" s="50"/>
      <c r="CP177" s="46" t="s">
        <v>23</v>
      </c>
      <c r="CQ177" s="46" t="s">
        <v>24</v>
      </c>
      <c r="CR177" s="46">
        <v>9</v>
      </c>
      <c r="CS177" s="46" t="s">
        <v>854</v>
      </c>
      <c r="CT177" s="46" t="s">
        <v>53</v>
      </c>
      <c r="CU177" s="46" t="s">
        <v>29</v>
      </c>
      <c r="CV177" s="46" t="s">
        <v>23</v>
      </c>
      <c r="CW177" s="46" t="s">
        <v>23</v>
      </c>
      <c r="CX177" s="49"/>
      <c r="CY177" s="49"/>
      <c r="CZ177" s="49">
        <v>0</v>
      </c>
      <c r="DA177" s="49">
        <v>0</v>
      </c>
      <c r="DB177" s="64">
        <v>58715</v>
      </c>
      <c r="DC177" s="58">
        <v>30.4</v>
      </c>
      <c r="DD177" s="58">
        <v>41.27</v>
      </c>
      <c r="DE177" s="58">
        <v>13.170000000000002</v>
      </c>
      <c r="DF177" s="58">
        <v>10.93</v>
      </c>
      <c r="DG177" s="58">
        <v>4.2300000000000004</v>
      </c>
      <c r="DH177" s="58">
        <v>69.599999999999994</v>
      </c>
      <c r="DI177" s="45" t="s">
        <v>35</v>
      </c>
      <c r="DJ177" s="59" t="str">
        <f t="shared" si="93"/>
        <v>No single majority group</v>
      </c>
      <c r="DK177" s="65">
        <v>58715</v>
      </c>
      <c r="DL177" s="58">
        <v>30.4</v>
      </c>
      <c r="DM177" s="58">
        <v>41.27</v>
      </c>
      <c r="DN177" s="58">
        <v>13.170000000000002</v>
      </c>
      <c r="DO177" s="58">
        <v>69.599999999999994</v>
      </c>
      <c r="DP177" s="66">
        <v>51.4</v>
      </c>
      <c r="DQ177" s="67">
        <v>60778.74</v>
      </c>
      <c r="DR177" s="53">
        <v>16.2</v>
      </c>
      <c r="DS177" s="58">
        <v>67.7</v>
      </c>
      <c r="DT177" s="53">
        <v>53.3</v>
      </c>
      <c r="DU177" s="55">
        <v>2.82</v>
      </c>
      <c r="DV177" s="50">
        <v>32.799999999999997</v>
      </c>
      <c r="DW177" s="53">
        <v>75.400000000000006</v>
      </c>
      <c r="DX177" s="53">
        <v>85.3262</v>
      </c>
      <c r="DY177" s="53">
        <v>42.507300000000001</v>
      </c>
      <c r="DZ177" s="63"/>
    </row>
    <row r="178" spans="1:130" s="5" customFormat="1" ht="14.25" hidden="1" customHeight="1">
      <c r="A178" s="45">
        <v>1189</v>
      </c>
      <c r="B178" s="46" t="s">
        <v>177</v>
      </c>
      <c r="C178" s="47">
        <v>1999</v>
      </c>
      <c r="D178" s="47" t="s">
        <v>21</v>
      </c>
      <c r="E178" s="46" t="s">
        <v>22</v>
      </c>
      <c r="F178" s="46">
        <v>4</v>
      </c>
      <c r="G178" s="48">
        <v>17000</v>
      </c>
      <c r="H178" s="46" t="s">
        <v>332</v>
      </c>
      <c r="I178" s="46">
        <v>5</v>
      </c>
      <c r="J178" s="46">
        <v>12</v>
      </c>
      <c r="K178" s="49" t="s">
        <v>202</v>
      </c>
      <c r="L178" s="49" t="s">
        <v>40</v>
      </c>
      <c r="M178" s="49" t="s">
        <v>35</v>
      </c>
      <c r="N178" s="49" t="s">
        <v>512</v>
      </c>
      <c r="O178" s="49"/>
      <c r="P178" s="49" t="s">
        <v>201</v>
      </c>
      <c r="Q178" s="49" t="s">
        <v>35</v>
      </c>
      <c r="R178" s="49">
        <v>3</v>
      </c>
      <c r="S178" s="50">
        <f t="shared" si="84"/>
        <v>25</v>
      </c>
      <c r="T178" s="49">
        <v>6</v>
      </c>
      <c r="U178" s="50">
        <f t="shared" si="85"/>
        <v>50</v>
      </c>
      <c r="V178" s="49" t="s">
        <v>872</v>
      </c>
      <c r="W178" s="49">
        <v>2</v>
      </c>
      <c r="X178" s="50">
        <f t="shared" si="86"/>
        <v>16.666666666666664</v>
      </c>
      <c r="Y178" s="51" t="str">
        <f t="shared" si="87"/>
        <v>Yes</v>
      </c>
      <c r="Z178" s="45" t="s">
        <v>35</v>
      </c>
      <c r="AA178" s="45" t="s">
        <v>23</v>
      </c>
      <c r="AB178" s="45" t="s">
        <v>23</v>
      </c>
      <c r="AC178" s="46" t="s">
        <v>26</v>
      </c>
      <c r="AD178" s="46" t="s">
        <v>27</v>
      </c>
      <c r="AE178" s="46" t="s">
        <v>164</v>
      </c>
      <c r="AF178" s="46" t="s">
        <v>29</v>
      </c>
      <c r="AG178" s="103"/>
      <c r="AH178" s="52">
        <v>55310</v>
      </c>
      <c r="AI178" s="52">
        <v>55310</v>
      </c>
      <c r="AJ178" s="102">
        <v>12.58</v>
      </c>
      <c r="AK178" s="104">
        <v>75.48</v>
      </c>
      <c r="AL178" s="102">
        <v>12.58</v>
      </c>
      <c r="AM178" s="102"/>
      <c r="AN178" s="53">
        <f t="shared" si="88"/>
        <v>75.48</v>
      </c>
      <c r="AO178" s="53">
        <v>9.06</v>
      </c>
      <c r="AP178" s="102"/>
      <c r="AQ178" s="102"/>
      <c r="AR178" s="102"/>
      <c r="AS178" s="102"/>
      <c r="AT178" s="102"/>
      <c r="AU178" s="102"/>
      <c r="AV178" s="102"/>
      <c r="AW178" s="102"/>
      <c r="AX178" s="102"/>
      <c r="AY178" s="102"/>
      <c r="AZ178" s="102"/>
      <c r="BA178" s="102"/>
      <c r="BB178" s="102"/>
      <c r="BC178" s="102"/>
      <c r="BD178" s="102"/>
      <c r="BE178" s="102"/>
      <c r="BF178" s="102"/>
      <c r="BG178" s="102"/>
      <c r="BH178" s="102"/>
      <c r="BI178" s="102"/>
      <c r="BJ178" s="102"/>
      <c r="BK178" s="102"/>
      <c r="BL178" s="102"/>
      <c r="BM178" s="102"/>
      <c r="BN178" s="102"/>
      <c r="BO178" s="102"/>
      <c r="BP178" s="102"/>
      <c r="BQ178" s="102"/>
      <c r="BR178" s="102"/>
      <c r="BS178" s="54" t="s">
        <v>23</v>
      </c>
      <c r="BT178" s="45" t="str">
        <f t="shared" si="81"/>
        <v>Yes</v>
      </c>
      <c r="BU178" s="45" t="str">
        <f t="shared" si="82"/>
        <v>Yes</v>
      </c>
      <c r="BV178" s="45" t="str">
        <f t="shared" si="83"/>
        <v>No</v>
      </c>
      <c r="BW178" s="55">
        <f t="shared" si="89"/>
        <v>86.915453146803102</v>
      </c>
      <c r="BX178" s="55">
        <f t="shared" si="89"/>
        <v>86.915453146803102</v>
      </c>
      <c r="BY178" s="55">
        <v>86.660453146803093</v>
      </c>
      <c r="BZ178" s="55">
        <f t="shared" si="90"/>
        <v>86.660453146803107</v>
      </c>
      <c r="CA178" s="45">
        <v>2000</v>
      </c>
      <c r="CB178" s="55">
        <f t="shared" si="91"/>
        <v>18.840160095375968</v>
      </c>
      <c r="CC178" s="46" t="s">
        <v>178</v>
      </c>
      <c r="CD178" s="46" t="s">
        <v>179</v>
      </c>
      <c r="CE178" s="46" t="s">
        <v>179</v>
      </c>
      <c r="CF178" s="46">
        <v>1</v>
      </c>
      <c r="CG178" s="46" t="str">
        <f t="shared" si="92"/>
        <v>No</v>
      </c>
      <c r="CH178" s="46" t="s">
        <v>29</v>
      </c>
      <c r="CI178" s="56">
        <v>300</v>
      </c>
      <c r="CJ178" s="46" t="s">
        <v>180</v>
      </c>
      <c r="CK178" s="46" t="s">
        <v>23</v>
      </c>
      <c r="CL178" s="49" t="s">
        <v>29</v>
      </c>
      <c r="CM178" s="102">
        <v>0</v>
      </c>
      <c r="CN178" s="102"/>
      <c r="CO178" s="102"/>
      <c r="CP178" s="46" t="s">
        <v>23</v>
      </c>
      <c r="CQ178" s="46" t="s">
        <v>24</v>
      </c>
      <c r="CR178" s="46">
        <v>9</v>
      </c>
      <c r="CS178" s="46" t="s">
        <v>854</v>
      </c>
      <c r="CT178" s="46" t="s">
        <v>53</v>
      </c>
      <c r="CU178" s="46" t="s">
        <v>29</v>
      </c>
      <c r="CV178" s="46" t="s">
        <v>23</v>
      </c>
      <c r="CW178" s="46" t="s">
        <v>23</v>
      </c>
      <c r="CX178" s="49"/>
      <c r="CY178" s="49"/>
      <c r="CZ178" s="49">
        <v>0</v>
      </c>
      <c r="DA178" s="49">
        <v>0</v>
      </c>
      <c r="DB178" s="64">
        <v>58715</v>
      </c>
      <c r="DC178" s="58">
        <v>30.4</v>
      </c>
      <c r="DD178" s="58">
        <v>41.27</v>
      </c>
      <c r="DE178" s="58">
        <v>13.170000000000002</v>
      </c>
      <c r="DF178" s="58">
        <v>10.93</v>
      </c>
      <c r="DG178" s="58">
        <v>4.2300000000000004</v>
      </c>
      <c r="DH178" s="58">
        <v>69.599999999999994</v>
      </c>
      <c r="DI178" s="45" t="s">
        <v>35</v>
      </c>
      <c r="DJ178" s="59" t="str">
        <f t="shared" si="93"/>
        <v>No single majority group</v>
      </c>
      <c r="DK178" s="65">
        <v>58715</v>
      </c>
      <c r="DL178" s="58">
        <v>30.4</v>
      </c>
      <c r="DM178" s="58">
        <v>41.27</v>
      </c>
      <c r="DN178" s="58">
        <v>13.170000000000002</v>
      </c>
      <c r="DO178" s="58">
        <v>69.599999999999994</v>
      </c>
      <c r="DP178" s="66">
        <v>51.4</v>
      </c>
      <c r="DQ178" s="67">
        <v>60778.74</v>
      </c>
      <c r="DR178" s="53">
        <v>16.2</v>
      </c>
      <c r="DS178" s="58">
        <v>67.7</v>
      </c>
      <c r="DT178" s="53">
        <v>53.3</v>
      </c>
      <c r="DU178" s="105">
        <v>2.82</v>
      </c>
      <c r="DV178" s="102">
        <v>32.799999999999997</v>
      </c>
      <c r="DW178" s="53">
        <v>75.400000000000006</v>
      </c>
      <c r="DX178" s="53">
        <v>85.3262</v>
      </c>
      <c r="DY178" s="53">
        <v>42.507300000000001</v>
      </c>
      <c r="DZ178" s="63"/>
    </row>
    <row r="179" spans="1:130" s="5" customFormat="1" ht="14.25" hidden="1" customHeight="1">
      <c r="A179" s="45">
        <v>1180</v>
      </c>
      <c r="B179" s="46" t="s">
        <v>177</v>
      </c>
      <c r="C179" s="47">
        <v>2001</v>
      </c>
      <c r="D179" s="47" t="s">
        <v>21</v>
      </c>
      <c r="E179" s="46" t="s">
        <v>22</v>
      </c>
      <c r="F179" s="46">
        <v>4</v>
      </c>
      <c r="G179" s="48">
        <v>17000</v>
      </c>
      <c r="H179" s="46" t="s">
        <v>332</v>
      </c>
      <c r="I179" s="46">
        <v>3</v>
      </c>
      <c r="J179" s="46">
        <v>6</v>
      </c>
      <c r="K179" s="49" t="s">
        <v>192</v>
      </c>
      <c r="L179" s="49" t="s">
        <v>30</v>
      </c>
      <c r="M179" s="49" t="s">
        <v>29</v>
      </c>
      <c r="N179" s="49" t="s">
        <v>512</v>
      </c>
      <c r="O179" s="49"/>
      <c r="P179" s="49" t="s">
        <v>31</v>
      </c>
      <c r="Q179" s="49" t="s">
        <v>29</v>
      </c>
      <c r="R179" s="49">
        <v>3</v>
      </c>
      <c r="S179" s="50">
        <f t="shared" si="84"/>
        <v>50</v>
      </c>
      <c r="T179" s="49">
        <v>4</v>
      </c>
      <c r="U179" s="50">
        <f t="shared" si="85"/>
        <v>66.666666666666657</v>
      </c>
      <c r="V179" s="49" t="s">
        <v>873</v>
      </c>
      <c r="W179" s="49">
        <v>2</v>
      </c>
      <c r="X179" s="50">
        <f t="shared" si="86"/>
        <v>33.333333333333329</v>
      </c>
      <c r="Y179" s="51" t="str">
        <f t="shared" si="87"/>
        <v>No</v>
      </c>
      <c r="Z179" s="45" t="s">
        <v>35</v>
      </c>
      <c r="AA179" s="45" t="s">
        <v>23</v>
      </c>
      <c r="AB179" s="45" t="s">
        <v>23</v>
      </c>
      <c r="AC179" s="46" t="s">
        <v>26</v>
      </c>
      <c r="AD179" s="46" t="s">
        <v>27</v>
      </c>
      <c r="AE179" s="46" t="s">
        <v>164</v>
      </c>
      <c r="AF179" s="46" t="s">
        <v>29</v>
      </c>
      <c r="AG179" s="107"/>
      <c r="AH179" s="70">
        <f t="shared" ref="AH179:AI181" si="94">SUM(8834+6759+3023+4549+5329+4052)</f>
        <v>32546</v>
      </c>
      <c r="AI179" s="70">
        <f t="shared" si="94"/>
        <v>32546</v>
      </c>
      <c r="AJ179" s="102">
        <v>16.37</v>
      </c>
      <c r="AK179" s="104">
        <v>65.48</v>
      </c>
      <c r="AL179" s="102">
        <v>16.37</v>
      </c>
      <c r="AM179" s="102"/>
      <c r="AN179" s="53">
        <f t="shared" si="88"/>
        <v>65.48</v>
      </c>
      <c r="AO179" s="53">
        <v>13.98</v>
      </c>
      <c r="AP179" s="102"/>
      <c r="AQ179" s="102"/>
      <c r="AR179" s="102"/>
      <c r="AS179" s="102"/>
      <c r="AT179" s="102"/>
      <c r="AU179" s="102"/>
      <c r="AV179" s="102"/>
      <c r="AW179" s="102"/>
      <c r="AX179" s="102"/>
      <c r="AY179" s="102"/>
      <c r="AZ179" s="102"/>
      <c r="BA179" s="102"/>
      <c r="BB179" s="102"/>
      <c r="BC179" s="102"/>
      <c r="BD179" s="102"/>
      <c r="BE179" s="102"/>
      <c r="BF179" s="102"/>
      <c r="BG179" s="102"/>
      <c r="BH179" s="102"/>
      <c r="BI179" s="102"/>
      <c r="BJ179" s="102"/>
      <c r="BK179" s="102"/>
      <c r="BL179" s="102"/>
      <c r="BM179" s="102"/>
      <c r="BN179" s="102"/>
      <c r="BO179" s="102"/>
      <c r="BP179" s="102"/>
      <c r="BQ179" s="102"/>
      <c r="BR179" s="102"/>
      <c r="BS179" s="54" t="s">
        <v>23</v>
      </c>
      <c r="BT179" s="45" t="str">
        <f t="shared" si="81"/>
        <v>Yes</v>
      </c>
      <c r="BU179" s="45" t="str">
        <f t="shared" si="82"/>
        <v>Yes</v>
      </c>
      <c r="BV179" s="45" t="str">
        <f t="shared" si="83"/>
        <v>No</v>
      </c>
      <c r="BW179" s="55">
        <f t="shared" si="89"/>
        <v>86.915453146803102</v>
      </c>
      <c r="BX179" s="55">
        <f t="shared" si="89"/>
        <v>86.915453146803102</v>
      </c>
      <c r="BY179" s="55">
        <v>86.660453146803093</v>
      </c>
      <c r="BZ179" s="55">
        <f t="shared" si="90"/>
        <v>86.660453146803107</v>
      </c>
      <c r="CA179" s="45">
        <v>2000</v>
      </c>
      <c r="CB179" s="55">
        <f t="shared" si="91"/>
        <v>18.476823071900988</v>
      </c>
      <c r="CC179" s="46" t="s">
        <v>178</v>
      </c>
      <c r="CD179" s="46" t="s">
        <v>179</v>
      </c>
      <c r="CE179" s="46" t="s">
        <v>179</v>
      </c>
      <c r="CF179" s="46">
        <v>1</v>
      </c>
      <c r="CG179" s="46" t="str">
        <f t="shared" si="92"/>
        <v>No</v>
      </c>
      <c r="CH179" s="46" t="s">
        <v>29</v>
      </c>
      <c r="CI179" s="56">
        <v>320</v>
      </c>
      <c r="CJ179" s="46" t="s">
        <v>180</v>
      </c>
      <c r="CK179" s="46" t="s">
        <v>23</v>
      </c>
      <c r="CL179" s="49" t="s">
        <v>29</v>
      </c>
      <c r="CM179" s="50">
        <v>0</v>
      </c>
      <c r="CN179" s="50"/>
      <c r="CO179" s="50"/>
      <c r="CP179" s="46" t="s">
        <v>23</v>
      </c>
      <c r="CQ179" s="46" t="s">
        <v>24</v>
      </c>
      <c r="CR179" s="46">
        <v>9</v>
      </c>
      <c r="CS179" s="46" t="s">
        <v>854</v>
      </c>
      <c r="CT179" s="46" t="s">
        <v>53</v>
      </c>
      <c r="CU179" s="46" t="s">
        <v>29</v>
      </c>
      <c r="CV179" s="46" t="s">
        <v>23</v>
      </c>
      <c r="CW179" s="46" t="s">
        <v>23</v>
      </c>
      <c r="CX179" s="49"/>
      <c r="CY179" s="49" t="s">
        <v>204</v>
      </c>
      <c r="CZ179" s="49">
        <v>0</v>
      </c>
      <c r="DA179" s="49">
        <v>0</v>
      </c>
      <c r="DB179" s="64">
        <v>58715</v>
      </c>
      <c r="DC179" s="58">
        <v>30.4</v>
      </c>
      <c r="DD179" s="58">
        <v>41.27</v>
      </c>
      <c r="DE179" s="58">
        <v>13.170000000000002</v>
      </c>
      <c r="DF179" s="58">
        <v>10.93</v>
      </c>
      <c r="DG179" s="58">
        <v>4.2300000000000004</v>
      </c>
      <c r="DH179" s="58">
        <v>69.599999999999994</v>
      </c>
      <c r="DI179" s="45" t="s">
        <v>35</v>
      </c>
      <c r="DJ179" s="59" t="str">
        <f t="shared" si="93"/>
        <v>No single majority group</v>
      </c>
      <c r="DK179" s="65">
        <v>58715</v>
      </c>
      <c r="DL179" s="58">
        <v>30.4</v>
      </c>
      <c r="DM179" s="58">
        <v>41.27</v>
      </c>
      <c r="DN179" s="58">
        <v>13.170000000000002</v>
      </c>
      <c r="DO179" s="58">
        <v>69.599999999999994</v>
      </c>
      <c r="DP179" s="66">
        <v>51.4</v>
      </c>
      <c r="DQ179" s="67">
        <v>60778.74</v>
      </c>
      <c r="DR179" s="53">
        <v>16.2</v>
      </c>
      <c r="DS179" s="58">
        <v>67.7</v>
      </c>
      <c r="DT179" s="53">
        <v>53.3</v>
      </c>
      <c r="DU179" s="55">
        <v>2.82</v>
      </c>
      <c r="DV179" s="50">
        <v>32.799999999999997</v>
      </c>
      <c r="DW179" s="53">
        <v>75.400000000000006</v>
      </c>
      <c r="DX179" s="53">
        <v>85.3262</v>
      </c>
      <c r="DY179" s="53">
        <v>42.507300000000001</v>
      </c>
      <c r="DZ179" s="63"/>
    </row>
    <row r="180" spans="1:130" s="5" customFormat="1" ht="14.25" hidden="1" customHeight="1">
      <c r="A180" s="45">
        <v>1182</v>
      </c>
      <c r="B180" s="46" t="s">
        <v>177</v>
      </c>
      <c r="C180" s="47">
        <v>2001</v>
      </c>
      <c r="D180" s="47" t="s">
        <v>21</v>
      </c>
      <c r="E180" s="46" t="s">
        <v>22</v>
      </c>
      <c r="F180" s="46">
        <v>4</v>
      </c>
      <c r="G180" s="48">
        <v>17000</v>
      </c>
      <c r="H180" s="46" t="s">
        <v>332</v>
      </c>
      <c r="I180" s="46">
        <v>3</v>
      </c>
      <c r="J180" s="46">
        <v>6</v>
      </c>
      <c r="K180" s="49" t="s">
        <v>205</v>
      </c>
      <c r="L180" s="49" t="s">
        <v>30</v>
      </c>
      <c r="M180" s="49" t="s">
        <v>29</v>
      </c>
      <c r="N180" s="49" t="s">
        <v>513</v>
      </c>
      <c r="O180" s="49"/>
      <c r="P180" s="49" t="s">
        <v>201</v>
      </c>
      <c r="Q180" s="49" t="s">
        <v>35</v>
      </c>
      <c r="R180" s="49">
        <v>3</v>
      </c>
      <c r="S180" s="50">
        <f t="shared" si="84"/>
        <v>50</v>
      </c>
      <c r="T180" s="49">
        <v>4</v>
      </c>
      <c r="U180" s="50">
        <f t="shared" si="85"/>
        <v>66.666666666666657</v>
      </c>
      <c r="V180" s="49" t="s">
        <v>873</v>
      </c>
      <c r="W180" s="49">
        <v>2</v>
      </c>
      <c r="X180" s="50">
        <f t="shared" si="86"/>
        <v>33.333333333333329</v>
      </c>
      <c r="Y180" s="51" t="str">
        <f t="shared" si="87"/>
        <v>No</v>
      </c>
      <c r="Z180" s="49" t="s">
        <v>29</v>
      </c>
      <c r="AA180" s="49" t="s">
        <v>35</v>
      </c>
      <c r="AB180" s="49" t="s">
        <v>29</v>
      </c>
      <c r="AC180" s="46" t="s">
        <v>26</v>
      </c>
      <c r="AD180" s="46" t="s">
        <v>27</v>
      </c>
      <c r="AE180" s="46" t="s">
        <v>164</v>
      </c>
      <c r="AF180" s="46" t="s">
        <v>29</v>
      </c>
      <c r="AG180" s="107"/>
      <c r="AH180" s="70">
        <f t="shared" si="94"/>
        <v>32546</v>
      </c>
      <c r="AI180" s="70">
        <f t="shared" si="94"/>
        <v>32546</v>
      </c>
      <c r="AJ180" s="102">
        <v>20.77</v>
      </c>
      <c r="AK180" s="104">
        <v>83.08</v>
      </c>
      <c r="AL180" s="102">
        <v>20.77</v>
      </c>
      <c r="AM180" s="102"/>
      <c r="AN180" s="53">
        <f t="shared" si="88"/>
        <v>83.08</v>
      </c>
      <c r="AO180" s="53">
        <v>13.98</v>
      </c>
      <c r="AP180" s="102"/>
      <c r="AQ180" s="102"/>
      <c r="AR180" s="102"/>
      <c r="AS180" s="102"/>
      <c r="AT180" s="102"/>
      <c r="AU180" s="102"/>
      <c r="AV180" s="102"/>
      <c r="AW180" s="102"/>
      <c r="AX180" s="102"/>
      <c r="AY180" s="102"/>
      <c r="AZ180" s="102"/>
      <c r="BA180" s="102"/>
      <c r="BB180" s="102"/>
      <c r="BC180" s="102"/>
      <c r="BD180" s="102"/>
      <c r="BE180" s="102"/>
      <c r="BF180" s="102"/>
      <c r="BG180" s="102"/>
      <c r="BH180" s="102"/>
      <c r="BI180" s="102"/>
      <c r="BJ180" s="102"/>
      <c r="BK180" s="102"/>
      <c r="BL180" s="102"/>
      <c r="BM180" s="102"/>
      <c r="BN180" s="102"/>
      <c r="BO180" s="102"/>
      <c r="BP180" s="102"/>
      <c r="BQ180" s="102"/>
      <c r="BR180" s="102"/>
      <c r="BS180" s="54" t="s">
        <v>23</v>
      </c>
      <c r="BT180" s="45" t="str">
        <f t="shared" si="81"/>
        <v>Yes</v>
      </c>
      <c r="BU180" s="45" t="str">
        <f t="shared" si="82"/>
        <v>Yes</v>
      </c>
      <c r="BV180" s="45" t="str">
        <f t="shared" si="83"/>
        <v>No</v>
      </c>
      <c r="BW180" s="55">
        <f t="shared" si="89"/>
        <v>86.915453146803102</v>
      </c>
      <c r="BX180" s="55">
        <f t="shared" si="89"/>
        <v>86.915453146803102</v>
      </c>
      <c r="BY180" s="55">
        <v>86.660453146803093</v>
      </c>
      <c r="BZ180" s="55">
        <f t="shared" si="90"/>
        <v>86.660453146803107</v>
      </c>
      <c r="CA180" s="45">
        <v>2000</v>
      </c>
      <c r="CB180" s="55">
        <f t="shared" si="91"/>
        <v>18.476823071900988</v>
      </c>
      <c r="CC180" s="46" t="s">
        <v>178</v>
      </c>
      <c r="CD180" s="46" t="s">
        <v>179</v>
      </c>
      <c r="CE180" s="46" t="s">
        <v>179</v>
      </c>
      <c r="CF180" s="46">
        <v>1</v>
      </c>
      <c r="CG180" s="46" t="str">
        <f t="shared" si="92"/>
        <v>No</v>
      </c>
      <c r="CH180" s="46" t="s">
        <v>29</v>
      </c>
      <c r="CI180" s="56">
        <v>320</v>
      </c>
      <c r="CJ180" s="46" t="s">
        <v>180</v>
      </c>
      <c r="CK180" s="46" t="s">
        <v>23</v>
      </c>
      <c r="CL180" s="49" t="s">
        <v>29</v>
      </c>
      <c r="CM180" s="50">
        <v>0</v>
      </c>
      <c r="CN180" s="50"/>
      <c r="CO180" s="50"/>
      <c r="CP180" s="46" t="s">
        <v>23</v>
      </c>
      <c r="CQ180" s="46" t="s">
        <v>24</v>
      </c>
      <c r="CR180" s="46">
        <v>9</v>
      </c>
      <c r="CS180" s="46" t="s">
        <v>854</v>
      </c>
      <c r="CT180" s="46" t="s">
        <v>53</v>
      </c>
      <c r="CU180" s="46" t="s">
        <v>29</v>
      </c>
      <c r="CV180" s="46" t="s">
        <v>23</v>
      </c>
      <c r="CW180" s="46" t="s">
        <v>23</v>
      </c>
      <c r="CX180" s="49"/>
      <c r="CY180" s="49" t="s">
        <v>204</v>
      </c>
      <c r="CZ180" s="49">
        <v>0</v>
      </c>
      <c r="DA180" s="49">
        <v>0</v>
      </c>
      <c r="DB180" s="64">
        <v>58715</v>
      </c>
      <c r="DC180" s="58">
        <v>30.4</v>
      </c>
      <c r="DD180" s="58">
        <v>41.27</v>
      </c>
      <c r="DE180" s="58">
        <v>13.170000000000002</v>
      </c>
      <c r="DF180" s="58">
        <v>10.93</v>
      </c>
      <c r="DG180" s="58">
        <v>4.2300000000000004</v>
      </c>
      <c r="DH180" s="58">
        <v>69.599999999999994</v>
      </c>
      <c r="DI180" s="45" t="s">
        <v>35</v>
      </c>
      <c r="DJ180" s="59" t="str">
        <f t="shared" si="93"/>
        <v>No single majority group</v>
      </c>
      <c r="DK180" s="65">
        <v>58715</v>
      </c>
      <c r="DL180" s="58">
        <v>30.4</v>
      </c>
      <c r="DM180" s="58">
        <v>41.27</v>
      </c>
      <c r="DN180" s="58">
        <v>13.170000000000002</v>
      </c>
      <c r="DO180" s="58">
        <v>69.599999999999994</v>
      </c>
      <c r="DP180" s="66">
        <v>51.4</v>
      </c>
      <c r="DQ180" s="67">
        <v>60778.74</v>
      </c>
      <c r="DR180" s="53">
        <v>16.2</v>
      </c>
      <c r="DS180" s="58">
        <v>67.7</v>
      </c>
      <c r="DT180" s="53">
        <v>53.3</v>
      </c>
      <c r="DU180" s="55">
        <v>2.82</v>
      </c>
      <c r="DV180" s="50">
        <v>32.799999999999997</v>
      </c>
      <c r="DW180" s="53">
        <v>75.400000000000006</v>
      </c>
      <c r="DX180" s="53">
        <v>85.3262</v>
      </c>
      <c r="DY180" s="53">
        <v>42.507300000000001</v>
      </c>
      <c r="DZ180" s="63"/>
    </row>
    <row r="181" spans="1:130" s="5" customFormat="1" ht="14.25" hidden="1" customHeight="1">
      <c r="A181" s="45">
        <v>1183</v>
      </c>
      <c r="B181" s="46" t="s">
        <v>177</v>
      </c>
      <c r="C181" s="47">
        <v>2001</v>
      </c>
      <c r="D181" s="47" t="s">
        <v>21</v>
      </c>
      <c r="E181" s="46" t="s">
        <v>22</v>
      </c>
      <c r="F181" s="46">
        <v>4</v>
      </c>
      <c r="G181" s="48">
        <v>17000</v>
      </c>
      <c r="H181" s="46" t="s">
        <v>332</v>
      </c>
      <c r="I181" s="46">
        <v>3</v>
      </c>
      <c r="J181" s="46">
        <v>6</v>
      </c>
      <c r="K181" s="49" t="s">
        <v>197</v>
      </c>
      <c r="L181" s="49" t="s">
        <v>40</v>
      </c>
      <c r="M181" s="49" t="s">
        <v>35</v>
      </c>
      <c r="N181" s="49" t="s">
        <v>512</v>
      </c>
      <c r="O181" s="49"/>
      <c r="P181" s="49" t="s">
        <v>857</v>
      </c>
      <c r="Q181" s="49" t="s">
        <v>35</v>
      </c>
      <c r="R181" s="49">
        <v>3</v>
      </c>
      <c r="S181" s="50">
        <f t="shared" si="84"/>
        <v>50</v>
      </c>
      <c r="T181" s="49">
        <v>4</v>
      </c>
      <c r="U181" s="50">
        <f t="shared" si="85"/>
        <v>66.666666666666657</v>
      </c>
      <c r="V181" s="49" t="s">
        <v>873</v>
      </c>
      <c r="W181" s="49">
        <v>2</v>
      </c>
      <c r="X181" s="50">
        <f t="shared" si="86"/>
        <v>33.333333333333329</v>
      </c>
      <c r="Y181" s="51" t="str">
        <f t="shared" si="87"/>
        <v>Yes</v>
      </c>
      <c r="Z181" s="45" t="s">
        <v>35</v>
      </c>
      <c r="AA181" s="45" t="s">
        <v>23</v>
      </c>
      <c r="AB181" s="45" t="s">
        <v>23</v>
      </c>
      <c r="AC181" s="46" t="s">
        <v>26</v>
      </c>
      <c r="AD181" s="46" t="s">
        <v>27</v>
      </c>
      <c r="AE181" s="46" t="s">
        <v>164</v>
      </c>
      <c r="AF181" s="46" t="s">
        <v>29</v>
      </c>
      <c r="AG181" s="107"/>
      <c r="AH181" s="70">
        <f t="shared" si="94"/>
        <v>32546</v>
      </c>
      <c r="AI181" s="70">
        <f t="shared" si="94"/>
        <v>32546</v>
      </c>
      <c r="AJ181" s="102">
        <v>27.14</v>
      </c>
      <c r="AK181" s="104">
        <v>108.56</v>
      </c>
      <c r="AL181" s="102">
        <v>27.14</v>
      </c>
      <c r="AM181" s="102"/>
      <c r="AN181" s="53">
        <f t="shared" si="88"/>
        <v>108.56</v>
      </c>
      <c r="AO181" s="53">
        <v>13.98</v>
      </c>
      <c r="AP181" s="102"/>
      <c r="AQ181" s="102"/>
      <c r="AR181" s="102"/>
      <c r="AS181" s="102"/>
      <c r="AT181" s="102"/>
      <c r="AU181" s="102"/>
      <c r="AV181" s="102"/>
      <c r="AW181" s="102"/>
      <c r="AX181" s="102"/>
      <c r="AY181" s="102"/>
      <c r="AZ181" s="102"/>
      <c r="BA181" s="102"/>
      <c r="BB181" s="102"/>
      <c r="BC181" s="102"/>
      <c r="BD181" s="102"/>
      <c r="BE181" s="102"/>
      <c r="BF181" s="102"/>
      <c r="BG181" s="102"/>
      <c r="BH181" s="102"/>
      <c r="BI181" s="102"/>
      <c r="BJ181" s="102"/>
      <c r="BK181" s="102"/>
      <c r="BL181" s="102"/>
      <c r="BM181" s="102"/>
      <c r="BN181" s="102"/>
      <c r="BO181" s="102"/>
      <c r="BP181" s="102"/>
      <c r="BQ181" s="102"/>
      <c r="BR181" s="102"/>
      <c r="BS181" s="54" t="s">
        <v>23</v>
      </c>
      <c r="BT181" s="45" t="str">
        <f t="shared" si="81"/>
        <v>Yes</v>
      </c>
      <c r="BU181" s="45" t="str">
        <f t="shared" si="82"/>
        <v>No</v>
      </c>
      <c r="BV181" s="45" t="str">
        <f t="shared" si="83"/>
        <v>No</v>
      </c>
      <c r="BW181" s="55">
        <f t="shared" si="89"/>
        <v>86.915453146803102</v>
      </c>
      <c r="BX181" s="55">
        <f t="shared" si="89"/>
        <v>86.915453146803102</v>
      </c>
      <c r="BY181" s="55">
        <v>86.660453146803093</v>
      </c>
      <c r="BZ181" s="55">
        <f t="shared" si="90"/>
        <v>86.660453146803107</v>
      </c>
      <c r="CA181" s="45">
        <v>2000</v>
      </c>
      <c r="CB181" s="55">
        <f t="shared" si="91"/>
        <v>18.476823071900988</v>
      </c>
      <c r="CC181" s="46" t="s">
        <v>178</v>
      </c>
      <c r="CD181" s="46" t="s">
        <v>179</v>
      </c>
      <c r="CE181" s="46" t="s">
        <v>179</v>
      </c>
      <c r="CF181" s="46">
        <v>1</v>
      </c>
      <c r="CG181" s="46" t="str">
        <f t="shared" si="92"/>
        <v>No</v>
      </c>
      <c r="CH181" s="46" t="s">
        <v>29</v>
      </c>
      <c r="CI181" s="56">
        <v>320</v>
      </c>
      <c r="CJ181" s="46" t="s">
        <v>180</v>
      </c>
      <c r="CK181" s="46" t="s">
        <v>23</v>
      </c>
      <c r="CL181" s="49" t="s">
        <v>29</v>
      </c>
      <c r="CM181" s="50">
        <v>0</v>
      </c>
      <c r="CN181" s="50"/>
      <c r="CO181" s="50"/>
      <c r="CP181" s="46" t="s">
        <v>23</v>
      </c>
      <c r="CQ181" s="46" t="s">
        <v>24</v>
      </c>
      <c r="CR181" s="46">
        <v>9</v>
      </c>
      <c r="CS181" s="46" t="s">
        <v>854</v>
      </c>
      <c r="CT181" s="46" t="s">
        <v>53</v>
      </c>
      <c r="CU181" s="46" t="s">
        <v>29</v>
      </c>
      <c r="CV181" s="46" t="s">
        <v>23</v>
      </c>
      <c r="CW181" s="46" t="s">
        <v>23</v>
      </c>
      <c r="CX181" s="49"/>
      <c r="CY181" s="49" t="s">
        <v>204</v>
      </c>
      <c r="CZ181" s="49">
        <v>0</v>
      </c>
      <c r="DA181" s="49">
        <v>0</v>
      </c>
      <c r="DB181" s="64">
        <v>58715</v>
      </c>
      <c r="DC181" s="58">
        <v>30.4</v>
      </c>
      <c r="DD181" s="58">
        <v>41.27</v>
      </c>
      <c r="DE181" s="58">
        <v>13.170000000000002</v>
      </c>
      <c r="DF181" s="58">
        <v>10.93</v>
      </c>
      <c r="DG181" s="58">
        <v>4.2300000000000004</v>
      </c>
      <c r="DH181" s="58">
        <v>69.599999999999994</v>
      </c>
      <c r="DI181" s="45" t="s">
        <v>35</v>
      </c>
      <c r="DJ181" s="59" t="str">
        <f t="shared" si="93"/>
        <v>No single majority group</v>
      </c>
      <c r="DK181" s="65">
        <v>58715</v>
      </c>
      <c r="DL181" s="58">
        <v>30.4</v>
      </c>
      <c r="DM181" s="58">
        <v>41.27</v>
      </c>
      <c r="DN181" s="58">
        <v>13.170000000000002</v>
      </c>
      <c r="DO181" s="58">
        <v>69.599999999999994</v>
      </c>
      <c r="DP181" s="66">
        <v>51.4</v>
      </c>
      <c r="DQ181" s="67">
        <v>60778.74</v>
      </c>
      <c r="DR181" s="53">
        <v>16.2</v>
      </c>
      <c r="DS181" s="58">
        <v>67.7</v>
      </c>
      <c r="DT181" s="53">
        <v>53.3</v>
      </c>
      <c r="DU181" s="55">
        <v>2.82</v>
      </c>
      <c r="DV181" s="50">
        <v>32.799999999999997</v>
      </c>
      <c r="DW181" s="53">
        <v>75.400000000000006</v>
      </c>
      <c r="DX181" s="53">
        <v>85.3262</v>
      </c>
      <c r="DY181" s="53">
        <v>42.507300000000001</v>
      </c>
      <c r="DZ181" s="63"/>
    </row>
    <row r="182" spans="1:130" s="5" customFormat="1" ht="14.25" hidden="1" customHeight="1">
      <c r="A182" s="45">
        <v>1181</v>
      </c>
      <c r="B182" s="46" t="s">
        <v>177</v>
      </c>
      <c r="C182" s="47">
        <v>2001</v>
      </c>
      <c r="D182" s="47" t="s">
        <v>185</v>
      </c>
      <c r="E182" s="46" t="s">
        <v>22</v>
      </c>
      <c r="F182" s="46">
        <v>2</v>
      </c>
      <c r="G182" s="48">
        <v>17000</v>
      </c>
      <c r="H182" s="46" t="s">
        <v>332</v>
      </c>
      <c r="I182" s="46">
        <v>1</v>
      </c>
      <c r="J182" s="46">
        <v>2</v>
      </c>
      <c r="K182" s="49" t="s">
        <v>206</v>
      </c>
      <c r="L182" s="49" t="s">
        <v>30</v>
      </c>
      <c r="M182" s="49" t="s">
        <v>29</v>
      </c>
      <c r="N182" s="49" t="s">
        <v>512</v>
      </c>
      <c r="O182" s="49"/>
      <c r="P182" s="49" t="s">
        <v>201</v>
      </c>
      <c r="Q182" s="49" t="s">
        <v>35</v>
      </c>
      <c r="R182" s="49">
        <v>1</v>
      </c>
      <c r="S182" s="50">
        <f t="shared" si="84"/>
        <v>50</v>
      </c>
      <c r="T182" s="49">
        <v>1</v>
      </c>
      <c r="U182" s="50">
        <f t="shared" si="85"/>
        <v>50</v>
      </c>
      <c r="V182" s="49" t="s">
        <v>858</v>
      </c>
      <c r="W182" s="49">
        <v>0</v>
      </c>
      <c r="X182" s="50">
        <f t="shared" si="86"/>
        <v>0</v>
      </c>
      <c r="Y182" s="51" t="str">
        <f t="shared" si="87"/>
        <v>No</v>
      </c>
      <c r="Z182" s="45" t="s">
        <v>35</v>
      </c>
      <c r="AA182" s="45" t="s">
        <v>23</v>
      </c>
      <c r="AB182" s="45" t="s">
        <v>23</v>
      </c>
      <c r="AC182" s="46" t="s">
        <v>26</v>
      </c>
      <c r="AD182" s="46" t="s">
        <v>27</v>
      </c>
      <c r="AE182" s="46" t="s">
        <v>164</v>
      </c>
      <c r="AF182" s="46" t="s">
        <v>35</v>
      </c>
      <c r="AG182" s="103"/>
      <c r="AH182" s="52">
        <v>12976</v>
      </c>
      <c r="AI182" s="52">
        <v>12976</v>
      </c>
      <c r="AJ182" s="102">
        <v>56.9</v>
      </c>
      <c r="AK182" s="104">
        <v>113.8</v>
      </c>
      <c r="AL182" s="102">
        <v>56.9</v>
      </c>
      <c r="AM182" s="102"/>
      <c r="AN182" s="53">
        <f t="shared" si="88"/>
        <v>113.8</v>
      </c>
      <c r="AO182" s="53">
        <v>43.1</v>
      </c>
      <c r="AP182" s="102"/>
      <c r="AQ182" s="102"/>
      <c r="AR182" s="102"/>
      <c r="AS182" s="102"/>
      <c r="AT182" s="102"/>
      <c r="AU182" s="102"/>
      <c r="AV182" s="102"/>
      <c r="AW182" s="102"/>
      <c r="AX182" s="102"/>
      <c r="AY182" s="102"/>
      <c r="AZ182" s="102"/>
      <c r="BA182" s="102"/>
      <c r="BB182" s="102"/>
      <c r="BC182" s="102"/>
      <c r="BD182" s="102"/>
      <c r="BE182" s="102"/>
      <c r="BF182" s="102"/>
      <c r="BG182" s="102"/>
      <c r="BH182" s="102"/>
      <c r="BI182" s="102"/>
      <c r="BJ182" s="102"/>
      <c r="BK182" s="102"/>
      <c r="BL182" s="102"/>
      <c r="BM182" s="102"/>
      <c r="BN182" s="102"/>
      <c r="BO182" s="102"/>
      <c r="BP182" s="102"/>
      <c r="BQ182" s="102"/>
      <c r="BR182" s="102"/>
      <c r="BS182" s="54" t="s">
        <v>23</v>
      </c>
      <c r="BT182" s="45" t="str">
        <f t="shared" si="81"/>
        <v>Yes</v>
      </c>
      <c r="BU182" s="45" t="str">
        <f t="shared" si="82"/>
        <v>Yes</v>
      </c>
      <c r="BV182" s="45" t="str">
        <f t="shared" si="83"/>
        <v>No</v>
      </c>
      <c r="BW182" s="55">
        <f t="shared" si="89"/>
        <v>86.915453146803102</v>
      </c>
      <c r="BX182" s="55">
        <f t="shared" si="89"/>
        <v>86.915453146803102</v>
      </c>
      <c r="BY182" s="55">
        <v>86.660453146803093</v>
      </c>
      <c r="BZ182" s="55">
        <f t="shared" si="90"/>
        <v>86.660453146803107</v>
      </c>
      <c r="CA182" s="45">
        <v>2000</v>
      </c>
      <c r="CB182" s="55">
        <f t="shared" si="91"/>
        <v>22.099974452865538</v>
      </c>
      <c r="CC182" s="46" t="s">
        <v>179</v>
      </c>
      <c r="CD182" s="46" t="s">
        <v>179</v>
      </c>
      <c r="CE182" s="46" t="s">
        <v>179</v>
      </c>
      <c r="CF182" s="46">
        <v>1</v>
      </c>
      <c r="CG182" s="46" t="str">
        <f t="shared" si="92"/>
        <v>No</v>
      </c>
      <c r="CH182" s="46" t="s">
        <v>29</v>
      </c>
      <c r="CI182" s="56">
        <v>320</v>
      </c>
      <c r="CJ182" s="46" t="s">
        <v>180</v>
      </c>
      <c r="CK182" s="46" t="s">
        <v>23</v>
      </c>
      <c r="CL182" s="49" t="s">
        <v>29</v>
      </c>
      <c r="CM182" s="50">
        <v>0</v>
      </c>
      <c r="CN182" s="50"/>
      <c r="CO182" s="50"/>
      <c r="CP182" s="46" t="s">
        <v>23</v>
      </c>
      <c r="CQ182" s="46" t="s">
        <v>24</v>
      </c>
      <c r="CR182" s="46">
        <v>9</v>
      </c>
      <c r="CS182" s="46" t="s">
        <v>854</v>
      </c>
      <c r="CT182" s="46" t="s">
        <v>53</v>
      </c>
      <c r="CU182" s="46" t="s">
        <v>29</v>
      </c>
      <c r="CV182" s="46" t="s">
        <v>23</v>
      </c>
      <c r="CW182" s="46" t="s">
        <v>23</v>
      </c>
      <c r="CX182" s="49"/>
      <c r="CY182" s="49" t="s">
        <v>204</v>
      </c>
      <c r="CZ182" s="49">
        <v>0</v>
      </c>
      <c r="DA182" s="49">
        <v>0</v>
      </c>
      <c r="DB182" s="64">
        <v>58715</v>
      </c>
      <c r="DC182" s="58">
        <v>30.4</v>
      </c>
      <c r="DD182" s="58">
        <v>41.27</v>
      </c>
      <c r="DE182" s="58">
        <v>13.170000000000002</v>
      </c>
      <c r="DF182" s="58">
        <v>10.93</v>
      </c>
      <c r="DG182" s="58">
        <v>4.2300000000000004</v>
      </c>
      <c r="DH182" s="58">
        <v>69.599999999999994</v>
      </c>
      <c r="DI182" s="45" t="s">
        <v>35</v>
      </c>
      <c r="DJ182" s="59" t="str">
        <f t="shared" si="93"/>
        <v>No single majority group</v>
      </c>
      <c r="DK182" s="65">
        <v>58715</v>
      </c>
      <c r="DL182" s="58">
        <v>30.4</v>
      </c>
      <c r="DM182" s="58">
        <v>41.27</v>
      </c>
      <c r="DN182" s="58">
        <v>13.170000000000002</v>
      </c>
      <c r="DO182" s="58">
        <v>69.599999999999994</v>
      </c>
      <c r="DP182" s="66">
        <v>51.4</v>
      </c>
      <c r="DQ182" s="67">
        <v>60778.74</v>
      </c>
      <c r="DR182" s="53">
        <v>16.2</v>
      </c>
      <c r="DS182" s="58">
        <v>67.7</v>
      </c>
      <c r="DT182" s="53">
        <v>53.3</v>
      </c>
      <c r="DU182" s="55">
        <v>2.82</v>
      </c>
      <c r="DV182" s="50">
        <v>32.799999999999997</v>
      </c>
      <c r="DW182" s="53">
        <v>75.400000000000006</v>
      </c>
      <c r="DX182" s="53">
        <v>85.3262</v>
      </c>
      <c r="DY182" s="53">
        <v>42.507300000000001</v>
      </c>
      <c r="DZ182" s="63"/>
    </row>
    <row r="183" spans="1:130" s="5" customFormat="1" ht="14.25" hidden="1" customHeight="1">
      <c r="A183" s="45">
        <v>1184</v>
      </c>
      <c r="B183" s="46" t="s">
        <v>177</v>
      </c>
      <c r="C183" s="47">
        <v>2001</v>
      </c>
      <c r="D183" s="47" t="s">
        <v>38</v>
      </c>
      <c r="E183" s="46" t="s">
        <v>22</v>
      </c>
      <c r="F183" s="46">
        <v>4</v>
      </c>
      <c r="G183" s="48">
        <v>46500</v>
      </c>
      <c r="H183" s="46" t="s">
        <v>332</v>
      </c>
      <c r="I183" s="46">
        <v>1</v>
      </c>
      <c r="J183" s="46">
        <v>4</v>
      </c>
      <c r="K183" s="49" t="s">
        <v>207</v>
      </c>
      <c r="L183" s="49" t="s">
        <v>40</v>
      </c>
      <c r="M183" s="49" t="s">
        <v>35</v>
      </c>
      <c r="N183" s="49" t="s">
        <v>512</v>
      </c>
      <c r="O183" s="49"/>
      <c r="P183" s="49" t="s">
        <v>201</v>
      </c>
      <c r="Q183" s="49" t="s">
        <v>35</v>
      </c>
      <c r="R183" s="49">
        <v>1</v>
      </c>
      <c r="S183" s="50">
        <f t="shared" si="84"/>
        <v>25</v>
      </c>
      <c r="T183" s="49">
        <v>3</v>
      </c>
      <c r="U183" s="50">
        <f t="shared" si="85"/>
        <v>75</v>
      </c>
      <c r="V183" s="49" t="s">
        <v>862</v>
      </c>
      <c r="W183" s="49">
        <v>1</v>
      </c>
      <c r="X183" s="50">
        <f t="shared" si="86"/>
        <v>25</v>
      </c>
      <c r="Y183" s="51" t="str">
        <f t="shared" si="87"/>
        <v>Yes</v>
      </c>
      <c r="Z183" s="45" t="s">
        <v>35</v>
      </c>
      <c r="AA183" s="45" t="s">
        <v>23</v>
      </c>
      <c r="AB183" s="45" t="s">
        <v>23</v>
      </c>
      <c r="AC183" s="46" t="s">
        <v>26</v>
      </c>
      <c r="AD183" s="46" t="s">
        <v>27</v>
      </c>
      <c r="AE183" s="46" t="s">
        <v>164</v>
      </c>
      <c r="AF183" s="46" t="s">
        <v>29</v>
      </c>
      <c r="AG183" s="103"/>
      <c r="AH183" s="52">
        <f>SUM(2380+3285+3008+4994)</f>
        <v>13667</v>
      </c>
      <c r="AI183" s="52">
        <f>SUM(2380+3285+3008+4994)</f>
        <v>13667</v>
      </c>
      <c r="AJ183" s="102">
        <v>36.54</v>
      </c>
      <c r="AK183" s="104">
        <v>73.08</v>
      </c>
      <c r="AL183" s="102">
        <v>36.54</v>
      </c>
      <c r="AM183" s="102"/>
      <c r="AN183" s="53">
        <f t="shared" si="88"/>
        <v>73.08</v>
      </c>
      <c r="AO183" s="53">
        <v>24.04</v>
      </c>
      <c r="AP183" s="102"/>
      <c r="AQ183" s="102"/>
      <c r="AR183" s="102"/>
      <c r="AS183" s="102"/>
      <c r="AT183" s="102"/>
      <c r="AU183" s="102"/>
      <c r="AV183" s="102"/>
      <c r="AW183" s="102"/>
      <c r="AX183" s="102"/>
      <c r="AY183" s="102"/>
      <c r="AZ183" s="102"/>
      <c r="BA183" s="102"/>
      <c r="BB183" s="102"/>
      <c r="BC183" s="102"/>
      <c r="BD183" s="102"/>
      <c r="BE183" s="102"/>
      <c r="BF183" s="102"/>
      <c r="BG183" s="102"/>
      <c r="BH183" s="102"/>
      <c r="BI183" s="102"/>
      <c r="BJ183" s="102"/>
      <c r="BK183" s="102"/>
      <c r="BL183" s="102"/>
      <c r="BM183" s="102"/>
      <c r="BN183" s="102"/>
      <c r="BO183" s="102"/>
      <c r="BP183" s="102"/>
      <c r="BQ183" s="102"/>
      <c r="BR183" s="102"/>
      <c r="BS183" s="54" t="s">
        <v>23</v>
      </c>
      <c r="BT183" s="45" t="str">
        <f t="shared" si="81"/>
        <v>Yes</v>
      </c>
      <c r="BU183" s="45" t="str">
        <f t="shared" si="82"/>
        <v>No</v>
      </c>
      <c r="BV183" s="45" t="str">
        <f t="shared" si="83"/>
        <v>No</v>
      </c>
      <c r="BW183" s="55">
        <f t="shared" si="89"/>
        <v>86.915453146803102</v>
      </c>
      <c r="BX183" s="55">
        <f t="shared" si="89"/>
        <v>86.915453146803102</v>
      </c>
      <c r="BY183" s="55">
        <v>86.660453146803093</v>
      </c>
      <c r="BZ183" s="55">
        <f t="shared" si="90"/>
        <v>86.660453146803107</v>
      </c>
      <c r="CA183" s="45">
        <v>2000</v>
      </c>
      <c r="CB183" s="55">
        <f t="shared" si="91"/>
        <v>23.276845780464956</v>
      </c>
      <c r="CC183" s="46" t="s">
        <v>39</v>
      </c>
      <c r="CD183" s="46" t="s">
        <v>179</v>
      </c>
      <c r="CE183" s="46" t="s">
        <v>179</v>
      </c>
      <c r="CF183" s="46">
        <v>1</v>
      </c>
      <c r="CG183" s="46" t="str">
        <f t="shared" si="92"/>
        <v>No</v>
      </c>
      <c r="CH183" s="46" t="s">
        <v>35</v>
      </c>
      <c r="CI183" s="56">
        <v>800</v>
      </c>
      <c r="CJ183" s="46" t="s">
        <v>180</v>
      </c>
      <c r="CK183" s="46" t="s">
        <v>23</v>
      </c>
      <c r="CL183" s="49" t="s">
        <v>29</v>
      </c>
      <c r="CM183" s="102">
        <v>0</v>
      </c>
      <c r="CN183" s="102"/>
      <c r="CO183" s="102"/>
      <c r="CP183" s="46" t="s">
        <v>23</v>
      </c>
      <c r="CQ183" s="46" t="s">
        <v>23</v>
      </c>
      <c r="CR183" s="46">
        <v>9</v>
      </c>
      <c r="CS183" s="46" t="s">
        <v>854</v>
      </c>
      <c r="CT183" s="46" t="s">
        <v>53</v>
      </c>
      <c r="CU183" s="46" t="s">
        <v>29</v>
      </c>
      <c r="CV183" s="46" t="s">
        <v>23</v>
      </c>
      <c r="CW183" s="46" t="s">
        <v>23</v>
      </c>
      <c r="CX183" s="49"/>
      <c r="CY183" s="49" t="s">
        <v>204</v>
      </c>
      <c r="CZ183" s="49">
        <v>0</v>
      </c>
      <c r="DA183" s="49">
        <v>0</v>
      </c>
      <c r="DB183" s="64">
        <v>58715</v>
      </c>
      <c r="DC183" s="58">
        <v>30.4</v>
      </c>
      <c r="DD183" s="58">
        <v>41.27</v>
      </c>
      <c r="DE183" s="58">
        <v>13.170000000000002</v>
      </c>
      <c r="DF183" s="58">
        <v>10.93</v>
      </c>
      <c r="DG183" s="58">
        <v>4.2300000000000004</v>
      </c>
      <c r="DH183" s="58">
        <v>69.599999999999994</v>
      </c>
      <c r="DI183" s="45" t="s">
        <v>35</v>
      </c>
      <c r="DJ183" s="59" t="str">
        <f t="shared" si="93"/>
        <v>No single majority group</v>
      </c>
      <c r="DK183" s="65">
        <v>58715</v>
      </c>
      <c r="DL183" s="58">
        <v>30.4</v>
      </c>
      <c r="DM183" s="58">
        <v>41.27</v>
      </c>
      <c r="DN183" s="58">
        <v>13.170000000000002</v>
      </c>
      <c r="DO183" s="58">
        <v>69.599999999999994</v>
      </c>
      <c r="DP183" s="66">
        <v>51.4</v>
      </c>
      <c r="DQ183" s="67">
        <v>60778.74</v>
      </c>
      <c r="DR183" s="53">
        <v>16.2</v>
      </c>
      <c r="DS183" s="58">
        <v>67.7</v>
      </c>
      <c r="DT183" s="53">
        <v>53.3</v>
      </c>
      <c r="DU183" s="105">
        <v>2.82</v>
      </c>
      <c r="DV183" s="102">
        <v>32.799999999999997</v>
      </c>
      <c r="DW183" s="53">
        <v>75.400000000000006</v>
      </c>
      <c r="DX183" s="53">
        <v>85.3262</v>
      </c>
      <c r="DY183" s="53">
        <v>42.507300000000001</v>
      </c>
      <c r="DZ183" s="63"/>
    </row>
    <row r="184" spans="1:130" s="5" customFormat="1" ht="14.25" hidden="1" customHeight="1">
      <c r="A184" s="45">
        <v>1175</v>
      </c>
      <c r="B184" s="46" t="s">
        <v>177</v>
      </c>
      <c r="C184" s="47">
        <v>2004</v>
      </c>
      <c r="D184" s="47" t="s">
        <v>21</v>
      </c>
      <c r="E184" s="46" t="s">
        <v>22</v>
      </c>
      <c r="F184" s="46">
        <v>4</v>
      </c>
      <c r="G184" s="48">
        <v>17000</v>
      </c>
      <c r="H184" s="46" t="s">
        <v>332</v>
      </c>
      <c r="I184" s="46">
        <v>5</v>
      </c>
      <c r="J184" s="46">
        <v>15</v>
      </c>
      <c r="K184" s="49" t="s">
        <v>203</v>
      </c>
      <c r="L184" s="45" t="s">
        <v>30</v>
      </c>
      <c r="M184" s="49" t="s">
        <v>29</v>
      </c>
      <c r="N184" s="49" t="s">
        <v>513</v>
      </c>
      <c r="O184" s="49"/>
      <c r="P184" s="45" t="s">
        <v>201</v>
      </c>
      <c r="Q184" s="49" t="s">
        <v>35</v>
      </c>
      <c r="R184" s="49">
        <v>4</v>
      </c>
      <c r="S184" s="50">
        <f t="shared" si="84"/>
        <v>26.666666666666668</v>
      </c>
      <c r="T184" s="49">
        <v>8</v>
      </c>
      <c r="U184" s="50">
        <f t="shared" si="85"/>
        <v>53.333333333333336</v>
      </c>
      <c r="V184" s="49" t="s">
        <v>874</v>
      </c>
      <c r="W184" s="49">
        <v>1</v>
      </c>
      <c r="X184" s="50">
        <f t="shared" si="86"/>
        <v>6.666666666666667</v>
      </c>
      <c r="Y184" s="51" t="str">
        <f t="shared" si="87"/>
        <v>No</v>
      </c>
      <c r="Z184" s="49" t="s">
        <v>29</v>
      </c>
      <c r="AA184" s="49" t="s">
        <v>35</v>
      </c>
      <c r="AB184" s="49" t="s">
        <v>29</v>
      </c>
      <c r="AC184" s="46" t="s">
        <v>26</v>
      </c>
      <c r="AD184" s="46" t="s">
        <v>27</v>
      </c>
      <c r="AE184" s="46" t="s">
        <v>89</v>
      </c>
      <c r="AF184" s="46" t="s">
        <v>29</v>
      </c>
      <c r="AG184" s="107"/>
      <c r="AH184" s="70">
        <f t="shared" ref="AH184:AI188" si="95">SUM(11727+11277+11191+10645+9569+8318+7456+7288+6692+6152+6128+5809+4953+2352+2073)</f>
        <v>111630</v>
      </c>
      <c r="AI184" s="70">
        <f t="shared" si="95"/>
        <v>111630</v>
      </c>
      <c r="AJ184" s="108">
        <v>8.6</v>
      </c>
      <c r="AK184" s="104">
        <v>51.6</v>
      </c>
      <c r="AL184" s="108">
        <v>8.6</v>
      </c>
      <c r="AM184" s="108"/>
      <c r="AN184" s="53">
        <f t="shared" si="88"/>
        <v>51.6</v>
      </c>
      <c r="AO184" s="53">
        <v>7.5</v>
      </c>
      <c r="AP184" s="108"/>
      <c r="AQ184" s="108"/>
      <c r="AR184" s="108"/>
      <c r="AS184" s="108"/>
      <c r="AT184" s="108"/>
      <c r="AU184" s="108"/>
      <c r="AV184" s="108"/>
      <c r="AW184" s="108"/>
      <c r="AX184" s="108"/>
      <c r="AY184" s="108"/>
      <c r="AZ184" s="108"/>
      <c r="BA184" s="108"/>
      <c r="BB184" s="108"/>
      <c r="BC184" s="108"/>
      <c r="BD184" s="108"/>
      <c r="BE184" s="108"/>
      <c r="BF184" s="108"/>
      <c r="BG184" s="108"/>
      <c r="BH184" s="108"/>
      <c r="BI184" s="108"/>
      <c r="BJ184" s="108"/>
      <c r="BK184" s="108"/>
      <c r="BL184" s="108"/>
      <c r="BM184" s="108"/>
      <c r="BN184" s="108"/>
      <c r="BO184" s="108"/>
      <c r="BP184" s="108"/>
      <c r="BQ184" s="108"/>
      <c r="BR184" s="108"/>
      <c r="BS184" s="54" t="s">
        <v>23</v>
      </c>
      <c r="BT184" s="45" t="str">
        <f t="shared" si="81"/>
        <v>Yes</v>
      </c>
      <c r="BU184" s="45" t="str">
        <f t="shared" si="82"/>
        <v>Yes</v>
      </c>
      <c r="BV184" s="45" t="str">
        <f t="shared" si="83"/>
        <v>No</v>
      </c>
      <c r="BW184" s="55">
        <f t="shared" ref="BW184:BX193" si="96">(26508/(26508+4012))*100</f>
        <v>86.854521625163827</v>
      </c>
      <c r="BX184" s="55">
        <f t="shared" si="96"/>
        <v>86.854521625163827</v>
      </c>
      <c r="BY184" s="55">
        <v>88.084521625163831</v>
      </c>
      <c r="BZ184" s="55">
        <f t="shared" ref="BZ184:BZ193" si="97">BX184-(-0.0246*100/2)</f>
        <v>88.084521625163831</v>
      </c>
      <c r="CA184" s="45">
        <v>2004</v>
      </c>
      <c r="CB184" s="55">
        <f t="shared" si="91"/>
        <v>38.024354934854813</v>
      </c>
      <c r="CC184" s="46" t="s">
        <v>178</v>
      </c>
      <c r="CD184" s="46" t="s">
        <v>179</v>
      </c>
      <c r="CE184" s="46" t="s">
        <v>179</v>
      </c>
      <c r="CF184" s="46">
        <v>1</v>
      </c>
      <c r="CG184" s="46" t="str">
        <f t="shared" si="92"/>
        <v>No</v>
      </c>
      <c r="CH184" s="46" t="s">
        <v>29</v>
      </c>
      <c r="CI184" s="56">
        <v>360</v>
      </c>
      <c r="CJ184" s="46" t="s">
        <v>180</v>
      </c>
      <c r="CK184" s="46" t="s">
        <v>23</v>
      </c>
      <c r="CL184" s="49" t="s">
        <v>29</v>
      </c>
      <c r="CM184" s="50">
        <v>0</v>
      </c>
      <c r="CN184" s="50"/>
      <c r="CO184" s="50"/>
      <c r="CP184" s="46" t="s">
        <v>23</v>
      </c>
      <c r="CQ184" s="46" t="s">
        <v>24</v>
      </c>
      <c r="CR184" s="46">
        <v>9</v>
      </c>
      <c r="CS184" s="46" t="s">
        <v>854</v>
      </c>
      <c r="CT184" s="46" t="s">
        <v>53</v>
      </c>
      <c r="CU184" s="46" t="s">
        <v>29</v>
      </c>
      <c r="CV184" s="46" t="s">
        <v>23</v>
      </c>
      <c r="CW184" s="46" t="s">
        <v>23</v>
      </c>
      <c r="CX184" s="49" t="s">
        <v>749</v>
      </c>
      <c r="CY184" s="49" t="s">
        <v>199</v>
      </c>
      <c r="CZ184" s="49">
        <v>0</v>
      </c>
      <c r="DA184" s="49">
        <v>1</v>
      </c>
      <c r="DB184" s="64">
        <v>58715</v>
      </c>
      <c r="DC184" s="58">
        <v>30.4</v>
      </c>
      <c r="DD184" s="58">
        <v>41.27</v>
      </c>
      <c r="DE184" s="58">
        <v>13.170000000000002</v>
      </c>
      <c r="DF184" s="58">
        <v>10.93</v>
      </c>
      <c r="DG184" s="58">
        <v>4.2300000000000004</v>
      </c>
      <c r="DH184" s="58">
        <v>69.599999999999994</v>
      </c>
      <c r="DI184" s="45" t="s">
        <v>35</v>
      </c>
      <c r="DJ184" s="59" t="str">
        <f t="shared" si="93"/>
        <v>No single majority group</v>
      </c>
      <c r="DK184" s="65">
        <v>58715</v>
      </c>
      <c r="DL184" s="58">
        <v>30.4</v>
      </c>
      <c r="DM184" s="58">
        <v>41.27</v>
      </c>
      <c r="DN184" s="58">
        <v>13.170000000000002</v>
      </c>
      <c r="DO184" s="58">
        <v>69.599999999999994</v>
      </c>
      <c r="DP184" s="66">
        <v>51.4</v>
      </c>
      <c r="DQ184" s="67">
        <v>60778.74</v>
      </c>
      <c r="DR184" s="53">
        <v>16.2</v>
      </c>
      <c r="DS184" s="58">
        <v>67.7</v>
      </c>
      <c r="DT184" s="53">
        <v>53.3</v>
      </c>
      <c r="DU184" s="55">
        <v>2.82</v>
      </c>
      <c r="DV184" s="50">
        <v>32.799999999999997</v>
      </c>
      <c r="DW184" s="53">
        <v>75.400000000000006</v>
      </c>
      <c r="DX184" s="53">
        <v>85.3262</v>
      </c>
      <c r="DY184" s="53">
        <v>42.507300000000001</v>
      </c>
      <c r="DZ184" s="63"/>
    </row>
    <row r="185" spans="1:130" s="5" customFormat="1" ht="14.25" hidden="1" customHeight="1">
      <c r="A185" s="45">
        <v>1176</v>
      </c>
      <c r="B185" s="46" t="s">
        <v>177</v>
      </c>
      <c r="C185" s="47">
        <v>2004</v>
      </c>
      <c r="D185" s="47" t="s">
        <v>21</v>
      </c>
      <c r="E185" s="46" t="s">
        <v>22</v>
      </c>
      <c r="F185" s="46">
        <v>4</v>
      </c>
      <c r="G185" s="48">
        <v>17000</v>
      </c>
      <c r="H185" s="46" t="s">
        <v>332</v>
      </c>
      <c r="I185" s="46">
        <v>5</v>
      </c>
      <c r="J185" s="46">
        <v>15</v>
      </c>
      <c r="K185" s="49" t="s">
        <v>202</v>
      </c>
      <c r="L185" s="45" t="s">
        <v>40</v>
      </c>
      <c r="M185" s="49" t="s">
        <v>35</v>
      </c>
      <c r="N185" s="49" t="s">
        <v>513</v>
      </c>
      <c r="O185" s="49"/>
      <c r="P185" s="45" t="s">
        <v>201</v>
      </c>
      <c r="Q185" s="49" t="s">
        <v>35</v>
      </c>
      <c r="R185" s="49">
        <v>4</v>
      </c>
      <c r="S185" s="50">
        <f t="shared" si="84"/>
        <v>26.666666666666668</v>
      </c>
      <c r="T185" s="49">
        <v>8</v>
      </c>
      <c r="U185" s="50">
        <f t="shared" si="85"/>
        <v>53.333333333333336</v>
      </c>
      <c r="V185" s="49" t="s">
        <v>874</v>
      </c>
      <c r="W185" s="49">
        <v>1</v>
      </c>
      <c r="X185" s="50">
        <f t="shared" si="86"/>
        <v>6.666666666666667</v>
      </c>
      <c r="Y185" s="51" t="str">
        <f t="shared" si="87"/>
        <v>Yes</v>
      </c>
      <c r="Z185" s="49" t="s">
        <v>29</v>
      </c>
      <c r="AA185" s="49" t="s">
        <v>35</v>
      </c>
      <c r="AB185" s="49" t="s">
        <v>29</v>
      </c>
      <c r="AC185" s="46" t="s">
        <v>26</v>
      </c>
      <c r="AD185" s="46" t="s">
        <v>27</v>
      </c>
      <c r="AE185" s="46" t="s">
        <v>89</v>
      </c>
      <c r="AF185" s="46" t="s">
        <v>29</v>
      </c>
      <c r="AG185" s="107"/>
      <c r="AH185" s="70">
        <f t="shared" si="95"/>
        <v>111630</v>
      </c>
      <c r="AI185" s="70">
        <f t="shared" si="95"/>
        <v>111630</v>
      </c>
      <c r="AJ185" s="108">
        <v>9.5</v>
      </c>
      <c r="AK185" s="104">
        <v>57</v>
      </c>
      <c r="AL185" s="108">
        <v>9.5</v>
      </c>
      <c r="AM185" s="108"/>
      <c r="AN185" s="53">
        <f t="shared" si="88"/>
        <v>57</v>
      </c>
      <c r="AO185" s="53">
        <v>7.5</v>
      </c>
      <c r="AP185" s="108"/>
      <c r="AQ185" s="108"/>
      <c r="AR185" s="108"/>
      <c r="AS185" s="108"/>
      <c r="AT185" s="108"/>
      <c r="AU185" s="108"/>
      <c r="AV185" s="108"/>
      <c r="AW185" s="108"/>
      <c r="AX185" s="108"/>
      <c r="AY185" s="108"/>
      <c r="AZ185" s="108"/>
      <c r="BA185" s="108"/>
      <c r="BB185" s="108"/>
      <c r="BC185" s="108"/>
      <c r="BD185" s="108"/>
      <c r="BE185" s="108"/>
      <c r="BF185" s="108"/>
      <c r="BG185" s="108"/>
      <c r="BH185" s="108"/>
      <c r="BI185" s="108"/>
      <c r="BJ185" s="108"/>
      <c r="BK185" s="108"/>
      <c r="BL185" s="108"/>
      <c r="BM185" s="108"/>
      <c r="BN185" s="108"/>
      <c r="BO185" s="108"/>
      <c r="BP185" s="108"/>
      <c r="BQ185" s="108"/>
      <c r="BR185" s="108"/>
      <c r="BS185" s="54" t="s">
        <v>23</v>
      </c>
      <c r="BT185" s="45" t="str">
        <f t="shared" si="81"/>
        <v>Yes</v>
      </c>
      <c r="BU185" s="45" t="str">
        <f t="shared" si="82"/>
        <v>Yes</v>
      </c>
      <c r="BV185" s="45" t="str">
        <f t="shared" si="83"/>
        <v>No</v>
      </c>
      <c r="BW185" s="55">
        <f t="shared" si="96"/>
        <v>86.854521625163827</v>
      </c>
      <c r="BX185" s="55">
        <f t="shared" si="96"/>
        <v>86.854521625163827</v>
      </c>
      <c r="BY185" s="55">
        <v>88.084521625163831</v>
      </c>
      <c r="BZ185" s="55">
        <f t="shared" si="97"/>
        <v>88.084521625163831</v>
      </c>
      <c r="CA185" s="45">
        <v>2004</v>
      </c>
      <c r="CB185" s="55">
        <f t="shared" si="91"/>
        <v>38.024354934854813</v>
      </c>
      <c r="CC185" s="46" t="s">
        <v>178</v>
      </c>
      <c r="CD185" s="46" t="s">
        <v>179</v>
      </c>
      <c r="CE185" s="46" t="s">
        <v>179</v>
      </c>
      <c r="CF185" s="46">
        <v>1</v>
      </c>
      <c r="CG185" s="46" t="str">
        <f t="shared" si="92"/>
        <v>No</v>
      </c>
      <c r="CH185" s="46" t="s">
        <v>29</v>
      </c>
      <c r="CI185" s="56">
        <v>360</v>
      </c>
      <c r="CJ185" s="46" t="s">
        <v>180</v>
      </c>
      <c r="CK185" s="46" t="s">
        <v>23</v>
      </c>
      <c r="CL185" s="49" t="s">
        <v>29</v>
      </c>
      <c r="CM185" s="50">
        <v>0</v>
      </c>
      <c r="CN185" s="50"/>
      <c r="CO185" s="50"/>
      <c r="CP185" s="46" t="s">
        <v>23</v>
      </c>
      <c r="CQ185" s="46" t="s">
        <v>24</v>
      </c>
      <c r="CR185" s="46">
        <v>9</v>
      </c>
      <c r="CS185" s="46" t="s">
        <v>854</v>
      </c>
      <c r="CT185" s="46" t="s">
        <v>53</v>
      </c>
      <c r="CU185" s="46" t="s">
        <v>29</v>
      </c>
      <c r="CV185" s="46" t="s">
        <v>23</v>
      </c>
      <c r="CW185" s="46" t="s">
        <v>23</v>
      </c>
      <c r="CX185" s="49" t="s">
        <v>749</v>
      </c>
      <c r="CY185" s="49" t="s">
        <v>199</v>
      </c>
      <c r="CZ185" s="49">
        <v>0</v>
      </c>
      <c r="DA185" s="49">
        <v>1</v>
      </c>
      <c r="DB185" s="64">
        <v>58715</v>
      </c>
      <c r="DC185" s="58">
        <v>30.4</v>
      </c>
      <c r="DD185" s="58">
        <v>41.27</v>
      </c>
      <c r="DE185" s="58">
        <v>13.170000000000002</v>
      </c>
      <c r="DF185" s="58">
        <v>10.93</v>
      </c>
      <c r="DG185" s="58">
        <v>4.2300000000000004</v>
      </c>
      <c r="DH185" s="58">
        <v>69.599999999999994</v>
      </c>
      <c r="DI185" s="45" t="s">
        <v>35</v>
      </c>
      <c r="DJ185" s="59" t="str">
        <f t="shared" si="93"/>
        <v>No single majority group</v>
      </c>
      <c r="DK185" s="65">
        <v>58715</v>
      </c>
      <c r="DL185" s="58">
        <v>30.4</v>
      </c>
      <c r="DM185" s="58">
        <v>41.27</v>
      </c>
      <c r="DN185" s="58">
        <v>13.170000000000002</v>
      </c>
      <c r="DO185" s="58">
        <v>69.599999999999994</v>
      </c>
      <c r="DP185" s="66">
        <v>51.4</v>
      </c>
      <c r="DQ185" s="67">
        <v>60778.74</v>
      </c>
      <c r="DR185" s="53">
        <v>16.2</v>
      </c>
      <c r="DS185" s="58">
        <v>67.7</v>
      </c>
      <c r="DT185" s="53">
        <v>53.3</v>
      </c>
      <c r="DU185" s="55">
        <v>2.82</v>
      </c>
      <c r="DV185" s="102">
        <v>32.799999999999997</v>
      </c>
      <c r="DW185" s="53">
        <v>75.400000000000006</v>
      </c>
      <c r="DX185" s="53">
        <v>85.3262</v>
      </c>
      <c r="DY185" s="53">
        <v>42.507300000000001</v>
      </c>
      <c r="DZ185" s="63"/>
    </row>
    <row r="186" spans="1:130" s="5" customFormat="1" ht="14.25" hidden="1" customHeight="1">
      <c r="A186" s="45">
        <v>1177</v>
      </c>
      <c r="B186" s="46" t="s">
        <v>177</v>
      </c>
      <c r="C186" s="47">
        <v>2004</v>
      </c>
      <c r="D186" s="47" t="s">
        <v>21</v>
      </c>
      <c r="E186" s="46" t="s">
        <v>22</v>
      </c>
      <c r="F186" s="46">
        <v>4</v>
      </c>
      <c r="G186" s="48">
        <v>17000</v>
      </c>
      <c r="H186" s="46" t="s">
        <v>332</v>
      </c>
      <c r="I186" s="46">
        <v>5</v>
      </c>
      <c r="J186" s="46">
        <v>15</v>
      </c>
      <c r="K186" s="49" t="s">
        <v>183</v>
      </c>
      <c r="L186" s="45" t="s">
        <v>40</v>
      </c>
      <c r="M186" s="49" t="s">
        <v>35</v>
      </c>
      <c r="N186" s="49" t="s">
        <v>512</v>
      </c>
      <c r="O186" s="49"/>
      <c r="P186" s="45" t="s">
        <v>31</v>
      </c>
      <c r="Q186" s="49" t="s">
        <v>29</v>
      </c>
      <c r="R186" s="49">
        <v>4</v>
      </c>
      <c r="S186" s="50">
        <f t="shared" si="84"/>
        <v>26.666666666666668</v>
      </c>
      <c r="T186" s="49">
        <v>8</v>
      </c>
      <c r="U186" s="50">
        <f t="shared" si="85"/>
        <v>53.333333333333336</v>
      </c>
      <c r="V186" s="49" t="s">
        <v>874</v>
      </c>
      <c r="W186" s="49">
        <v>1</v>
      </c>
      <c r="X186" s="50">
        <f t="shared" si="86"/>
        <v>6.666666666666667</v>
      </c>
      <c r="Y186" s="51" t="str">
        <f t="shared" si="87"/>
        <v>No</v>
      </c>
      <c r="Z186" s="49" t="s">
        <v>35</v>
      </c>
      <c r="AA186" s="49" t="s">
        <v>23</v>
      </c>
      <c r="AB186" s="49" t="s">
        <v>23</v>
      </c>
      <c r="AC186" s="46" t="s">
        <v>26</v>
      </c>
      <c r="AD186" s="46" t="s">
        <v>27</v>
      </c>
      <c r="AE186" s="46" t="s">
        <v>89</v>
      </c>
      <c r="AF186" s="46" t="s">
        <v>29</v>
      </c>
      <c r="AG186" s="107"/>
      <c r="AH186" s="70">
        <f t="shared" si="95"/>
        <v>111630</v>
      </c>
      <c r="AI186" s="70">
        <f t="shared" si="95"/>
        <v>111630</v>
      </c>
      <c r="AJ186" s="108">
        <v>10</v>
      </c>
      <c r="AK186" s="104">
        <v>60</v>
      </c>
      <c r="AL186" s="108">
        <v>10</v>
      </c>
      <c r="AM186" s="108"/>
      <c r="AN186" s="53">
        <f t="shared" si="88"/>
        <v>60</v>
      </c>
      <c r="AO186" s="53">
        <v>7.5</v>
      </c>
      <c r="AP186" s="108"/>
      <c r="AQ186" s="108"/>
      <c r="AR186" s="108"/>
      <c r="AS186" s="108"/>
      <c r="AT186" s="108"/>
      <c r="AU186" s="108"/>
      <c r="AV186" s="108"/>
      <c r="AW186" s="108"/>
      <c r="AX186" s="108"/>
      <c r="AY186" s="108"/>
      <c r="AZ186" s="108"/>
      <c r="BA186" s="108"/>
      <c r="BB186" s="108"/>
      <c r="BC186" s="108"/>
      <c r="BD186" s="108"/>
      <c r="BE186" s="108"/>
      <c r="BF186" s="108"/>
      <c r="BG186" s="108"/>
      <c r="BH186" s="108"/>
      <c r="BI186" s="108"/>
      <c r="BJ186" s="108"/>
      <c r="BK186" s="108"/>
      <c r="BL186" s="108"/>
      <c r="BM186" s="108"/>
      <c r="BN186" s="108"/>
      <c r="BO186" s="108"/>
      <c r="BP186" s="108"/>
      <c r="BQ186" s="108"/>
      <c r="BR186" s="108"/>
      <c r="BS186" s="54" t="s">
        <v>23</v>
      </c>
      <c r="BT186" s="45" t="str">
        <f t="shared" si="81"/>
        <v>Yes</v>
      </c>
      <c r="BU186" s="45" t="str">
        <f t="shared" si="82"/>
        <v>Yes</v>
      </c>
      <c r="BV186" s="45" t="str">
        <f t="shared" si="83"/>
        <v>No</v>
      </c>
      <c r="BW186" s="55">
        <f t="shared" si="96"/>
        <v>86.854521625163827</v>
      </c>
      <c r="BX186" s="55">
        <f t="shared" si="96"/>
        <v>86.854521625163827</v>
      </c>
      <c r="BY186" s="55">
        <v>88.084521625163831</v>
      </c>
      <c r="BZ186" s="55">
        <f t="shared" si="97"/>
        <v>88.084521625163831</v>
      </c>
      <c r="CA186" s="45">
        <v>2004</v>
      </c>
      <c r="CB186" s="55">
        <f t="shared" si="91"/>
        <v>38.024354934854813</v>
      </c>
      <c r="CC186" s="46" t="s">
        <v>178</v>
      </c>
      <c r="CD186" s="46" t="s">
        <v>179</v>
      </c>
      <c r="CE186" s="46" t="s">
        <v>179</v>
      </c>
      <c r="CF186" s="46">
        <v>1</v>
      </c>
      <c r="CG186" s="46" t="str">
        <f t="shared" si="92"/>
        <v>No</v>
      </c>
      <c r="CH186" s="46" t="s">
        <v>29</v>
      </c>
      <c r="CI186" s="56">
        <v>360</v>
      </c>
      <c r="CJ186" s="46" t="s">
        <v>180</v>
      </c>
      <c r="CK186" s="46" t="s">
        <v>23</v>
      </c>
      <c r="CL186" s="49" t="s">
        <v>29</v>
      </c>
      <c r="CM186" s="50">
        <v>0</v>
      </c>
      <c r="CN186" s="50"/>
      <c r="CO186" s="50"/>
      <c r="CP186" s="46" t="s">
        <v>23</v>
      </c>
      <c r="CQ186" s="46" t="s">
        <v>24</v>
      </c>
      <c r="CR186" s="46">
        <v>9</v>
      </c>
      <c r="CS186" s="46" t="s">
        <v>854</v>
      </c>
      <c r="CT186" s="46" t="s">
        <v>53</v>
      </c>
      <c r="CU186" s="46" t="s">
        <v>29</v>
      </c>
      <c r="CV186" s="46" t="s">
        <v>23</v>
      </c>
      <c r="CW186" s="46" t="s">
        <v>23</v>
      </c>
      <c r="CX186" s="49" t="s">
        <v>749</v>
      </c>
      <c r="CY186" s="49" t="s">
        <v>199</v>
      </c>
      <c r="CZ186" s="49">
        <v>0</v>
      </c>
      <c r="DA186" s="49">
        <v>1</v>
      </c>
      <c r="DB186" s="64">
        <v>58715</v>
      </c>
      <c r="DC186" s="58">
        <v>30.4</v>
      </c>
      <c r="DD186" s="58">
        <v>41.27</v>
      </c>
      <c r="DE186" s="58">
        <v>13.170000000000002</v>
      </c>
      <c r="DF186" s="58">
        <v>10.93</v>
      </c>
      <c r="DG186" s="58">
        <v>4.2300000000000004</v>
      </c>
      <c r="DH186" s="58">
        <v>69.599999999999994</v>
      </c>
      <c r="DI186" s="45" t="s">
        <v>35</v>
      </c>
      <c r="DJ186" s="59" t="str">
        <f t="shared" si="93"/>
        <v>No single majority group</v>
      </c>
      <c r="DK186" s="65">
        <v>58715</v>
      </c>
      <c r="DL186" s="58">
        <v>30.4</v>
      </c>
      <c r="DM186" s="58">
        <v>41.27</v>
      </c>
      <c r="DN186" s="58">
        <v>13.170000000000002</v>
      </c>
      <c r="DO186" s="58">
        <v>69.599999999999994</v>
      </c>
      <c r="DP186" s="66">
        <v>51.4</v>
      </c>
      <c r="DQ186" s="67">
        <v>60778.74</v>
      </c>
      <c r="DR186" s="53">
        <v>16.2</v>
      </c>
      <c r="DS186" s="58">
        <v>67.7</v>
      </c>
      <c r="DT186" s="53">
        <v>53.3</v>
      </c>
      <c r="DU186" s="55">
        <v>2.82</v>
      </c>
      <c r="DV186" s="102">
        <v>32.799999999999997</v>
      </c>
      <c r="DW186" s="53">
        <v>75.400000000000006</v>
      </c>
      <c r="DX186" s="53">
        <v>85.3262</v>
      </c>
      <c r="DY186" s="53">
        <v>42.507300000000001</v>
      </c>
      <c r="DZ186" s="63"/>
    </row>
    <row r="187" spans="1:130" s="5" customFormat="1" ht="14.25" hidden="1" customHeight="1">
      <c r="A187" s="45">
        <v>1178</v>
      </c>
      <c r="B187" s="46" t="s">
        <v>177</v>
      </c>
      <c r="C187" s="47">
        <v>2004</v>
      </c>
      <c r="D187" s="47" t="s">
        <v>21</v>
      </c>
      <c r="E187" s="46" t="s">
        <v>22</v>
      </c>
      <c r="F187" s="46">
        <v>4</v>
      </c>
      <c r="G187" s="48">
        <v>17000</v>
      </c>
      <c r="H187" s="46" t="s">
        <v>332</v>
      </c>
      <c r="I187" s="46">
        <v>5</v>
      </c>
      <c r="J187" s="46">
        <v>15</v>
      </c>
      <c r="K187" s="49" t="s">
        <v>200</v>
      </c>
      <c r="L187" s="45" t="s">
        <v>30</v>
      </c>
      <c r="M187" s="49" t="s">
        <v>29</v>
      </c>
      <c r="N187" s="49" t="s">
        <v>618</v>
      </c>
      <c r="O187" s="49"/>
      <c r="P187" s="45" t="s">
        <v>857</v>
      </c>
      <c r="Q187" s="49" t="s">
        <v>35</v>
      </c>
      <c r="R187" s="49">
        <v>4</v>
      </c>
      <c r="S187" s="50">
        <f t="shared" si="84"/>
        <v>26.666666666666668</v>
      </c>
      <c r="T187" s="49">
        <v>8</v>
      </c>
      <c r="U187" s="50">
        <f t="shared" si="85"/>
        <v>53.333333333333336</v>
      </c>
      <c r="V187" s="49" t="s">
        <v>874</v>
      </c>
      <c r="W187" s="49">
        <v>1</v>
      </c>
      <c r="X187" s="50">
        <f t="shared" si="86"/>
        <v>6.666666666666667</v>
      </c>
      <c r="Y187" s="51" t="str">
        <f t="shared" si="87"/>
        <v>No</v>
      </c>
      <c r="Z187" s="49" t="s">
        <v>29</v>
      </c>
      <c r="AA187" s="49" t="s">
        <v>35</v>
      </c>
      <c r="AB187" s="49" t="s">
        <v>29</v>
      </c>
      <c r="AC187" s="46" t="s">
        <v>26</v>
      </c>
      <c r="AD187" s="46" t="s">
        <v>27</v>
      </c>
      <c r="AE187" s="46" t="s">
        <v>89</v>
      </c>
      <c r="AF187" s="46" t="s">
        <v>29</v>
      </c>
      <c r="AG187" s="107"/>
      <c r="AH187" s="70">
        <f t="shared" si="95"/>
        <v>111630</v>
      </c>
      <c r="AI187" s="70">
        <f t="shared" si="95"/>
        <v>111630</v>
      </c>
      <c r="AJ187" s="108">
        <v>10.1</v>
      </c>
      <c r="AK187" s="104">
        <v>60.6</v>
      </c>
      <c r="AL187" s="108">
        <v>10.1</v>
      </c>
      <c r="AM187" s="108"/>
      <c r="AN187" s="53">
        <f t="shared" si="88"/>
        <v>60.6</v>
      </c>
      <c r="AO187" s="53">
        <v>7.5</v>
      </c>
      <c r="AP187" s="108"/>
      <c r="AQ187" s="108"/>
      <c r="AR187" s="108"/>
      <c r="AS187" s="108"/>
      <c r="AT187" s="108"/>
      <c r="AU187" s="108"/>
      <c r="AV187" s="108"/>
      <c r="AW187" s="108"/>
      <c r="AX187" s="108"/>
      <c r="AY187" s="108"/>
      <c r="AZ187" s="108"/>
      <c r="BA187" s="108"/>
      <c r="BB187" s="108"/>
      <c r="BC187" s="108"/>
      <c r="BD187" s="108"/>
      <c r="BE187" s="108"/>
      <c r="BF187" s="108"/>
      <c r="BG187" s="108"/>
      <c r="BH187" s="108"/>
      <c r="BI187" s="108"/>
      <c r="BJ187" s="108"/>
      <c r="BK187" s="108"/>
      <c r="BL187" s="108"/>
      <c r="BM187" s="108"/>
      <c r="BN187" s="108"/>
      <c r="BO187" s="108"/>
      <c r="BP187" s="108"/>
      <c r="BQ187" s="108"/>
      <c r="BR187" s="108"/>
      <c r="BS187" s="54" t="s">
        <v>23</v>
      </c>
      <c r="BT187" s="45" t="str">
        <f t="shared" si="81"/>
        <v>Yes</v>
      </c>
      <c r="BU187" s="45" t="str">
        <f t="shared" si="82"/>
        <v>Yes</v>
      </c>
      <c r="BV187" s="45" t="str">
        <f t="shared" si="83"/>
        <v>No</v>
      </c>
      <c r="BW187" s="55">
        <f t="shared" si="96"/>
        <v>86.854521625163827</v>
      </c>
      <c r="BX187" s="55">
        <f t="shared" si="96"/>
        <v>86.854521625163827</v>
      </c>
      <c r="BY187" s="55">
        <v>88.084521625163831</v>
      </c>
      <c r="BZ187" s="55">
        <f t="shared" si="97"/>
        <v>88.084521625163831</v>
      </c>
      <c r="CA187" s="45">
        <v>2004</v>
      </c>
      <c r="CB187" s="55">
        <f t="shared" si="91"/>
        <v>38.024354934854813</v>
      </c>
      <c r="CC187" s="46" t="s">
        <v>178</v>
      </c>
      <c r="CD187" s="46" t="s">
        <v>179</v>
      </c>
      <c r="CE187" s="46" t="s">
        <v>179</v>
      </c>
      <c r="CF187" s="46">
        <v>1</v>
      </c>
      <c r="CG187" s="46" t="str">
        <f t="shared" si="92"/>
        <v>No</v>
      </c>
      <c r="CH187" s="46" t="s">
        <v>29</v>
      </c>
      <c r="CI187" s="56">
        <v>360</v>
      </c>
      <c r="CJ187" s="46" t="s">
        <v>180</v>
      </c>
      <c r="CK187" s="46" t="s">
        <v>23</v>
      </c>
      <c r="CL187" s="49" t="s">
        <v>29</v>
      </c>
      <c r="CM187" s="50">
        <v>0</v>
      </c>
      <c r="CN187" s="50"/>
      <c r="CO187" s="50"/>
      <c r="CP187" s="46" t="s">
        <v>23</v>
      </c>
      <c r="CQ187" s="46" t="s">
        <v>24</v>
      </c>
      <c r="CR187" s="46">
        <v>9</v>
      </c>
      <c r="CS187" s="46" t="s">
        <v>854</v>
      </c>
      <c r="CT187" s="46" t="s">
        <v>53</v>
      </c>
      <c r="CU187" s="46" t="s">
        <v>29</v>
      </c>
      <c r="CV187" s="46" t="s">
        <v>23</v>
      </c>
      <c r="CW187" s="46" t="s">
        <v>23</v>
      </c>
      <c r="CX187" s="49" t="s">
        <v>749</v>
      </c>
      <c r="CY187" s="49" t="s">
        <v>199</v>
      </c>
      <c r="CZ187" s="49">
        <v>0</v>
      </c>
      <c r="DA187" s="49">
        <v>1</v>
      </c>
      <c r="DB187" s="64">
        <v>58715</v>
      </c>
      <c r="DC187" s="58">
        <v>30.4</v>
      </c>
      <c r="DD187" s="58">
        <v>41.27</v>
      </c>
      <c r="DE187" s="58">
        <v>13.170000000000002</v>
      </c>
      <c r="DF187" s="58">
        <v>10.93</v>
      </c>
      <c r="DG187" s="58">
        <v>4.2300000000000004</v>
      </c>
      <c r="DH187" s="58">
        <v>69.599999999999994</v>
      </c>
      <c r="DI187" s="45" t="s">
        <v>35</v>
      </c>
      <c r="DJ187" s="59" t="str">
        <f t="shared" si="93"/>
        <v>No single majority group</v>
      </c>
      <c r="DK187" s="65">
        <v>58715</v>
      </c>
      <c r="DL187" s="58">
        <v>30.4</v>
      </c>
      <c r="DM187" s="58">
        <v>41.27</v>
      </c>
      <c r="DN187" s="58">
        <v>13.170000000000002</v>
      </c>
      <c r="DO187" s="58">
        <v>69.599999999999994</v>
      </c>
      <c r="DP187" s="66">
        <v>51.4</v>
      </c>
      <c r="DQ187" s="67">
        <v>60778.74</v>
      </c>
      <c r="DR187" s="53">
        <v>16.2</v>
      </c>
      <c r="DS187" s="58">
        <v>67.7</v>
      </c>
      <c r="DT187" s="53">
        <v>53.3</v>
      </c>
      <c r="DU187" s="55">
        <v>2.82</v>
      </c>
      <c r="DV187" s="50">
        <v>32.799999999999997</v>
      </c>
      <c r="DW187" s="53">
        <v>75.400000000000006</v>
      </c>
      <c r="DX187" s="53">
        <v>85.3262</v>
      </c>
      <c r="DY187" s="53">
        <v>42.507300000000001</v>
      </c>
      <c r="DZ187" s="63"/>
    </row>
    <row r="188" spans="1:130" s="5" customFormat="1" ht="14.25" hidden="1" customHeight="1">
      <c r="A188" s="45">
        <v>1179</v>
      </c>
      <c r="B188" s="46" t="s">
        <v>177</v>
      </c>
      <c r="C188" s="47">
        <v>2004</v>
      </c>
      <c r="D188" s="47" t="s">
        <v>21</v>
      </c>
      <c r="E188" s="46" t="s">
        <v>22</v>
      </c>
      <c r="F188" s="46">
        <v>4</v>
      </c>
      <c r="G188" s="48">
        <v>17000</v>
      </c>
      <c r="H188" s="46" t="s">
        <v>332</v>
      </c>
      <c r="I188" s="46">
        <v>5</v>
      </c>
      <c r="J188" s="46">
        <v>15</v>
      </c>
      <c r="K188" s="49" t="s">
        <v>187</v>
      </c>
      <c r="L188" s="45" t="s">
        <v>30</v>
      </c>
      <c r="M188" s="49" t="s">
        <v>29</v>
      </c>
      <c r="N188" s="49" t="s">
        <v>513</v>
      </c>
      <c r="O188" s="49"/>
      <c r="P188" s="45" t="s">
        <v>31</v>
      </c>
      <c r="Q188" s="49" t="s">
        <v>29</v>
      </c>
      <c r="R188" s="49">
        <v>4</v>
      </c>
      <c r="S188" s="50">
        <f t="shared" si="84"/>
        <v>26.666666666666668</v>
      </c>
      <c r="T188" s="49">
        <v>8</v>
      </c>
      <c r="U188" s="50">
        <f t="shared" si="85"/>
        <v>53.333333333333336</v>
      </c>
      <c r="V188" s="49" t="s">
        <v>874</v>
      </c>
      <c r="W188" s="49">
        <v>1</v>
      </c>
      <c r="X188" s="50">
        <f t="shared" si="86"/>
        <v>6.666666666666667</v>
      </c>
      <c r="Y188" s="51" t="str">
        <f t="shared" si="87"/>
        <v>No</v>
      </c>
      <c r="Z188" s="49" t="s">
        <v>29</v>
      </c>
      <c r="AA188" s="49" t="s">
        <v>29</v>
      </c>
      <c r="AB188" s="49" t="s">
        <v>29</v>
      </c>
      <c r="AC188" s="46" t="s">
        <v>26</v>
      </c>
      <c r="AD188" s="46" t="s">
        <v>27</v>
      </c>
      <c r="AE188" s="46" t="s">
        <v>89</v>
      </c>
      <c r="AF188" s="46" t="s">
        <v>29</v>
      </c>
      <c r="AG188" s="107"/>
      <c r="AH188" s="70">
        <f t="shared" si="95"/>
        <v>111630</v>
      </c>
      <c r="AI188" s="70">
        <f t="shared" si="95"/>
        <v>111630</v>
      </c>
      <c r="AJ188" s="108">
        <v>10.5</v>
      </c>
      <c r="AK188" s="104">
        <v>63</v>
      </c>
      <c r="AL188" s="108">
        <v>10.5</v>
      </c>
      <c r="AM188" s="108"/>
      <c r="AN188" s="53">
        <f t="shared" si="88"/>
        <v>63</v>
      </c>
      <c r="AO188" s="53">
        <v>7.5</v>
      </c>
      <c r="AP188" s="108"/>
      <c r="AQ188" s="108"/>
      <c r="AR188" s="108"/>
      <c r="AS188" s="108"/>
      <c r="AT188" s="108"/>
      <c r="AU188" s="108"/>
      <c r="AV188" s="108"/>
      <c r="AW188" s="108"/>
      <c r="AX188" s="108"/>
      <c r="AY188" s="108"/>
      <c r="AZ188" s="108"/>
      <c r="BA188" s="108"/>
      <c r="BB188" s="108"/>
      <c r="BC188" s="108"/>
      <c r="BD188" s="108"/>
      <c r="BE188" s="108"/>
      <c r="BF188" s="108"/>
      <c r="BG188" s="108"/>
      <c r="BH188" s="108"/>
      <c r="BI188" s="108"/>
      <c r="BJ188" s="108"/>
      <c r="BK188" s="108"/>
      <c r="BL188" s="108"/>
      <c r="BM188" s="108"/>
      <c r="BN188" s="108"/>
      <c r="BO188" s="108"/>
      <c r="BP188" s="108"/>
      <c r="BQ188" s="108"/>
      <c r="BR188" s="108"/>
      <c r="BS188" s="54" t="s">
        <v>23</v>
      </c>
      <c r="BT188" s="45" t="str">
        <f t="shared" si="81"/>
        <v>Yes</v>
      </c>
      <c r="BU188" s="45" t="str">
        <f t="shared" si="82"/>
        <v>Yes</v>
      </c>
      <c r="BV188" s="45" t="str">
        <f t="shared" si="83"/>
        <v>No</v>
      </c>
      <c r="BW188" s="55">
        <f t="shared" si="96"/>
        <v>86.854521625163827</v>
      </c>
      <c r="BX188" s="55">
        <f t="shared" si="96"/>
        <v>86.854521625163827</v>
      </c>
      <c r="BY188" s="55">
        <v>88.084521625163831</v>
      </c>
      <c r="BZ188" s="55">
        <f t="shared" si="97"/>
        <v>88.084521625163831</v>
      </c>
      <c r="CA188" s="45">
        <v>2004</v>
      </c>
      <c r="CB188" s="55">
        <f t="shared" si="91"/>
        <v>38.024354934854813</v>
      </c>
      <c r="CC188" s="46" t="s">
        <v>178</v>
      </c>
      <c r="CD188" s="46" t="s">
        <v>179</v>
      </c>
      <c r="CE188" s="46" t="s">
        <v>179</v>
      </c>
      <c r="CF188" s="46">
        <v>1</v>
      </c>
      <c r="CG188" s="46" t="str">
        <f t="shared" si="92"/>
        <v>No</v>
      </c>
      <c r="CH188" s="46" t="s">
        <v>29</v>
      </c>
      <c r="CI188" s="56">
        <v>360</v>
      </c>
      <c r="CJ188" s="46" t="s">
        <v>180</v>
      </c>
      <c r="CK188" s="46" t="s">
        <v>23</v>
      </c>
      <c r="CL188" s="49" t="s">
        <v>29</v>
      </c>
      <c r="CM188" s="50">
        <v>0</v>
      </c>
      <c r="CN188" s="50"/>
      <c r="CO188" s="50"/>
      <c r="CP188" s="46" t="s">
        <v>23</v>
      </c>
      <c r="CQ188" s="46" t="s">
        <v>24</v>
      </c>
      <c r="CR188" s="46">
        <v>9</v>
      </c>
      <c r="CS188" s="46" t="s">
        <v>854</v>
      </c>
      <c r="CT188" s="46" t="s">
        <v>53</v>
      </c>
      <c r="CU188" s="46" t="s">
        <v>29</v>
      </c>
      <c r="CV188" s="46" t="s">
        <v>23</v>
      </c>
      <c r="CW188" s="46" t="s">
        <v>23</v>
      </c>
      <c r="CX188" s="49" t="s">
        <v>749</v>
      </c>
      <c r="CY188" s="49" t="s">
        <v>199</v>
      </c>
      <c r="CZ188" s="49">
        <v>0</v>
      </c>
      <c r="DA188" s="49">
        <v>1</v>
      </c>
      <c r="DB188" s="64">
        <v>58715</v>
      </c>
      <c r="DC188" s="58">
        <v>30.4</v>
      </c>
      <c r="DD188" s="58">
        <v>41.27</v>
      </c>
      <c r="DE188" s="58">
        <v>13.170000000000002</v>
      </c>
      <c r="DF188" s="58">
        <v>10.93</v>
      </c>
      <c r="DG188" s="58">
        <v>4.2300000000000004</v>
      </c>
      <c r="DH188" s="58">
        <v>69.599999999999994</v>
      </c>
      <c r="DI188" s="45" t="s">
        <v>35</v>
      </c>
      <c r="DJ188" s="59" t="str">
        <f t="shared" si="93"/>
        <v>No single majority group</v>
      </c>
      <c r="DK188" s="65">
        <v>58715</v>
      </c>
      <c r="DL188" s="58">
        <v>30.4</v>
      </c>
      <c r="DM188" s="58">
        <v>41.27</v>
      </c>
      <c r="DN188" s="58">
        <v>13.170000000000002</v>
      </c>
      <c r="DO188" s="58">
        <v>69.599999999999994</v>
      </c>
      <c r="DP188" s="66">
        <v>51.4</v>
      </c>
      <c r="DQ188" s="67">
        <v>60778.74</v>
      </c>
      <c r="DR188" s="53">
        <v>16.2</v>
      </c>
      <c r="DS188" s="58">
        <v>67.7</v>
      </c>
      <c r="DT188" s="53">
        <v>53.3</v>
      </c>
      <c r="DU188" s="55">
        <v>2.82</v>
      </c>
      <c r="DV188" s="50">
        <v>32.799999999999997</v>
      </c>
      <c r="DW188" s="53">
        <v>75.400000000000006</v>
      </c>
      <c r="DX188" s="53">
        <v>85.3262</v>
      </c>
      <c r="DY188" s="53">
        <v>42.507300000000001</v>
      </c>
      <c r="DZ188" s="63"/>
    </row>
    <row r="189" spans="1:130" s="5" customFormat="1" ht="14.25" hidden="1" customHeight="1">
      <c r="A189" s="45">
        <v>1171</v>
      </c>
      <c r="B189" s="46" t="s">
        <v>177</v>
      </c>
      <c r="C189" s="47">
        <v>2006</v>
      </c>
      <c r="D189" s="47" t="s">
        <v>21</v>
      </c>
      <c r="E189" s="46" t="s">
        <v>22</v>
      </c>
      <c r="F189" s="46">
        <v>4</v>
      </c>
      <c r="G189" s="48">
        <v>17000</v>
      </c>
      <c r="H189" s="46" t="s">
        <v>332</v>
      </c>
      <c r="I189" s="46">
        <v>3</v>
      </c>
      <c r="J189" s="46">
        <v>6</v>
      </c>
      <c r="K189" s="49" t="s">
        <v>196</v>
      </c>
      <c r="L189" s="45" t="s">
        <v>40</v>
      </c>
      <c r="M189" s="49" t="s">
        <v>35</v>
      </c>
      <c r="N189" s="49" t="s">
        <v>618</v>
      </c>
      <c r="O189" s="49"/>
      <c r="P189" s="45" t="s">
        <v>857</v>
      </c>
      <c r="Q189" s="49" t="s">
        <v>35</v>
      </c>
      <c r="R189" s="49">
        <v>2</v>
      </c>
      <c r="S189" s="50">
        <f t="shared" si="84"/>
        <v>33.333333333333329</v>
      </c>
      <c r="T189" s="49">
        <v>5</v>
      </c>
      <c r="U189" s="50">
        <f t="shared" si="85"/>
        <v>83.333333333333343</v>
      </c>
      <c r="V189" s="49" t="s">
        <v>875</v>
      </c>
      <c r="W189" s="49">
        <v>2</v>
      </c>
      <c r="X189" s="50">
        <f t="shared" si="86"/>
        <v>33.333333333333329</v>
      </c>
      <c r="Y189" s="51" t="str">
        <f t="shared" si="87"/>
        <v>Yes</v>
      </c>
      <c r="Z189" s="49" t="s">
        <v>29</v>
      </c>
      <c r="AA189" s="49" t="s">
        <v>35</v>
      </c>
      <c r="AB189" s="49" t="s">
        <v>29</v>
      </c>
      <c r="AC189" s="46" t="s">
        <v>26</v>
      </c>
      <c r="AD189" s="46" t="s">
        <v>27</v>
      </c>
      <c r="AE189" s="46" t="s">
        <v>73</v>
      </c>
      <c r="AF189" s="46" t="s">
        <v>29</v>
      </c>
      <c r="AG189" s="107"/>
      <c r="AH189" s="70">
        <f t="shared" ref="AH189:AI191" si="98">SUM(4678+4825+7382+9295+7864+9033)</f>
        <v>43077</v>
      </c>
      <c r="AI189" s="70">
        <f t="shared" si="98"/>
        <v>43077</v>
      </c>
      <c r="AJ189" s="108">
        <v>18.260000000000002</v>
      </c>
      <c r="AK189" s="104">
        <v>73.040000000000006</v>
      </c>
      <c r="AL189" s="108">
        <v>18.260000000000002</v>
      </c>
      <c r="AM189" s="108"/>
      <c r="AN189" s="53">
        <f t="shared" si="88"/>
        <v>73.040000000000006</v>
      </c>
      <c r="AO189" s="53">
        <v>17.14</v>
      </c>
      <c r="AP189" s="108"/>
      <c r="AQ189" s="108"/>
      <c r="AR189" s="108"/>
      <c r="AS189" s="108"/>
      <c r="AT189" s="108"/>
      <c r="AU189" s="108"/>
      <c r="AV189" s="108"/>
      <c r="AW189" s="108"/>
      <c r="AX189" s="108"/>
      <c r="AY189" s="108"/>
      <c r="AZ189" s="108"/>
      <c r="BA189" s="108"/>
      <c r="BB189" s="108"/>
      <c r="BC189" s="108"/>
      <c r="BD189" s="108"/>
      <c r="BE189" s="108"/>
      <c r="BF189" s="108"/>
      <c r="BG189" s="108"/>
      <c r="BH189" s="108"/>
      <c r="BI189" s="108"/>
      <c r="BJ189" s="108"/>
      <c r="BK189" s="108"/>
      <c r="BL189" s="108"/>
      <c r="BM189" s="108"/>
      <c r="BN189" s="108"/>
      <c r="BO189" s="108"/>
      <c r="BP189" s="108"/>
      <c r="BQ189" s="108"/>
      <c r="BR189" s="108"/>
      <c r="BS189" s="54" t="s">
        <v>23</v>
      </c>
      <c r="BT189" s="45" t="str">
        <f t="shared" si="81"/>
        <v>Yes</v>
      </c>
      <c r="BU189" s="45" t="str">
        <f t="shared" si="82"/>
        <v>Yes</v>
      </c>
      <c r="BV189" s="45" t="str">
        <f t="shared" si="83"/>
        <v>Yes</v>
      </c>
      <c r="BW189" s="55">
        <f t="shared" si="96"/>
        <v>86.854521625163827</v>
      </c>
      <c r="BX189" s="55">
        <f t="shared" si="96"/>
        <v>86.854521625163827</v>
      </c>
      <c r="BY189" s="55">
        <v>88.084521625163831</v>
      </c>
      <c r="BZ189" s="55">
        <f t="shared" si="97"/>
        <v>88.084521625163831</v>
      </c>
      <c r="CA189" s="45">
        <v>2004</v>
      </c>
      <c r="CB189" s="55">
        <f t="shared" si="91"/>
        <v>24.355864642523958</v>
      </c>
      <c r="CC189" s="46" t="s">
        <v>178</v>
      </c>
      <c r="CD189" s="46" t="s">
        <v>179</v>
      </c>
      <c r="CE189" s="46" t="s">
        <v>179</v>
      </c>
      <c r="CF189" s="46">
        <v>1</v>
      </c>
      <c r="CG189" s="46" t="str">
        <f t="shared" si="92"/>
        <v>No</v>
      </c>
      <c r="CH189" s="46" t="s">
        <v>29</v>
      </c>
      <c r="CI189" s="56">
        <v>380</v>
      </c>
      <c r="CJ189" s="46" t="s">
        <v>180</v>
      </c>
      <c r="CK189" s="46" t="s">
        <v>23</v>
      </c>
      <c r="CL189" s="49" t="s">
        <v>29</v>
      </c>
      <c r="CM189" s="50">
        <v>0</v>
      </c>
      <c r="CN189" s="50"/>
      <c r="CO189" s="50"/>
      <c r="CP189" s="46" t="s">
        <v>23</v>
      </c>
      <c r="CQ189" s="46" t="s">
        <v>24</v>
      </c>
      <c r="CR189" s="46">
        <v>7</v>
      </c>
      <c r="CS189" s="46" t="s">
        <v>854</v>
      </c>
      <c r="CT189" s="46" t="s">
        <v>53</v>
      </c>
      <c r="CU189" s="46" t="s">
        <v>29</v>
      </c>
      <c r="CV189" s="46" t="s">
        <v>23</v>
      </c>
      <c r="CW189" s="46" t="s">
        <v>23</v>
      </c>
      <c r="CX189" s="49" t="s">
        <v>749</v>
      </c>
      <c r="CY189" s="49" t="s">
        <v>194</v>
      </c>
      <c r="CZ189" s="49">
        <v>0</v>
      </c>
      <c r="DA189" s="49">
        <v>0</v>
      </c>
      <c r="DB189" s="64">
        <v>58955</v>
      </c>
      <c r="DC189" s="58">
        <v>27.79</v>
      </c>
      <c r="DD189" s="58">
        <v>36.11</v>
      </c>
      <c r="DE189" s="58">
        <v>18.420000000000002</v>
      </c>
      <c r="DF189" s="58">
        <v>15.299999999999999</v>
      </c>
      <c r="DG189" s="58">
        <v>2.3799999999999932</v>
      </c>
      <c r="DH189" s="58">
        <v>72.209999999999994</v>
      </c>
      <c r="DI189" s="45" t="s">
        <v>35</v>
      </c>
      <c r="DJ189" s="59" t="str">
        <f t="shared" si="93"/>
        <v>No single majority group</v>
      </c>
      <c r="DK189" s="65">
        <v>58955</v>
      </c>
      <c r="DL189" s="58">
        <v>27.79</v>
      </c>
      <c r="DM189" s="58">
        <v>36.11</v>
      </c>
      <c r="DN189" s="58">
        <v>18.420000000000002</v>
      </c>
      <c r="DO189" s="58">
        <v>72.209999999999994</v>
      </c>
      <c r="DP189" s="66">
        <v>52.95</v>
      </c>
      <c r="DQ189" s="67">
        <v>60512.31</v>
      </c>
      <c r="DR189" s="53">
        <v>15.4</v>
      </c>
      <c r="DS189" s="58">
        <v>71.400000000000006</v>
      </c>
      <c r="DT189" s="53">
        <v>55.3</v>
      </c>
      <c r="DU189" s="55">
        <v>2.83</v>
      </c>
      <c r="DV189" s="50">
        <v>34.799999999999997</v>
      </c>
      <c r="DW189" s="53">
        <v>79.400000000000006</v>
      </c>
      <c r="DX189" s="53">
        <v>98.56</v>
      </c>
      <c r="DY189" s="53">
        <v>55.088900000000002</v>
      </c>
      <c r="DZ189" s="63"/>
    </row>
    <row r="190" spans="1:130" s="5" customFormat="1" ht="14.25" hidden="1" customHeight="1">
      <c r="A190" s="45">
        <v>1172</v>
      </c>
      <c r="B190" s="46" t="s">
        <v>177</v>
      </c>
      <c r="C190" s="47">
        <v>2006</v>
      </c>
      <c r="D190" s="47" t="s">
        <v>21</v>
      </c>
      <c r="E190" s="46" t="s">
        <v>22</v>
      </c>
      <c r="F190" s="46">
        <v>4</v>
      </c>
      <c r="G190" s="48">
        <v>17000</v>
      </c>
      <c r="H190" s="46" t="s">
        <v>332</v>
      </c>
      <c r="I190" s="46">
        <v>3</v>
      </c>
      <c r="J190" s="46">
        <v>6</v>
      </c>
      <c r="K190" s="49" t="s">
        <v>197</v>
      </c>
      <c r="L190" s="45" t="s">
        <v>40</v>
      </c>
      <c r="M190" s="49" t="s">
        <v>35</v>
      </c>
      <c r="N190" s="49" t="s">
        <v>513</v>
      </c>
      <c r="O190" s="49"/>
      <c r="P190" s="45" t="s">
        <v>857</v>
      </c>
      <c r="Q190" s="49" t="s">
        <v>35</v>
      </c>
      <c r="R190" s="49">
        <v>2</v>
      </c>
      <c r="S190" s="50">
        <f t="shared" si="84"/>
        <v>33.333333333333329</v>
      </c>
      <c r="T190" s="49">
        <v>5</v>
      </c>
      <c r="U190" s="50">
        <f t="shared" si="85"/>
        <v>83.333333333333343</v>
      </c>
      <c r="V190" s="49" t="s">
        <v>875</v>
      </c>
      <c r="W190" s="49">
        <v>2</v>
      </c>
      <c r="X190" s="50">
        <f t="shared" si="86"/>
        <v>33.333333333333329</v>
      </c>
      <c r="Y190" s="51" t="str">
        <f t="shared" si="87"/>
        <v>Yes</v>
      </c>
      <c r="Z190" s="49" t="s">
        <v>29</v>
      </c>
      <c r="AA190" s="49" t="s">
        <v>35</v>
      </c>
      <c r="AB190" s="45" t="s">
        <v>35</v>
      </c>
      <c r="AC190" s="46" t="s">
        <v>26</v>
      </c>
      <c r="AD190" s="46" t="s">
        <v>27</v>
      </c>
      <c r="AE190" s="46" t="s">
        <v>73</v>
      </c>
      <c r="AF190" s="46" t="s">
        <v>29</v>
      </c>
      <c r="AG190" s="107"/>
      <c r="AH190" s="70">
        <f t="shared" si="98"/>
        <v>43077</v>
      </c>
      <c r="AI190" s="70">
        <f t="shared" si="98"/>
        <v>43077</v>
      </c>
      <c r="AJ190" s="108">
        <v>20.97</v>
      </c>
      <c r="AK190" s="104">
        <v>83.88</v>
      </c>
      <c r="AL190" s="108">
        <v>20.97</v>
      </c>
      <c r="AM190" s="108"/>
      <c r="AN190" s="53">
        <f t="shared" si="88"/>
        <v>83.88</v>
      </c>
      <c r="AO190" s="53">
        <v>17.14</v>
      </c>
      <c r="AP190" s="108"/>
      <c r="AQ190" s="108"/>
      <c r="AR190" s="108"/>
      <c r="AS190" s="108"/>
      <c r="AT190" s="108"/>
      <c r="AU190" s="108"/>
      <c r="AV190" s="108"/>
      <c r="AW190" s="108"/>
      <c r="AX190" s="108"/>
      <c r="AY190" s="108"/>
      <c r="AZ190" s="108"/>
      <c r="BA190" s="108"/>
      <c r="BB190" s="108"/>
      <c r="BC190" s="108"/>
      <c r="BD190" s="108"/>
      <c r="BE190" s="108"/>
      <c r="BF190" s="108"/>
      <c r="BG190" s="108"/>
      <c r="BH190" s="108"/>
      <c r="BI190" s="108"/>
      <c r="BJ190" s="108"/>
      <c r="BK190" s="108"/>
      <c r="BL190" s="108"/>
      <c r="BM190" s="108"/>
      <c r="BN190" s="108"/>
      <c r="BO190" s="108"/>
      <c r="BP190" s="108"/>
      <c r="BQ190" s="108"/>
      <c r="BR190" s="108"/>
      <c r="BS190" s="54" t="s">
        <v>23</v>
      </c>
      <c r="BT190" s="45" t="str">
        <f t="shared" si="81"/>
        <v>Yes</v>
      </c>
      <c r="BU190" s="45" t="str">
        <f t="shared" si="82"/>
        <v>Yes</v>
      </c>
      <c r="BV190" s="45" t="str">
        <f t="shared" si="83"/>
        <v>No</v>
      </c>
      <c r="BW190" s="55">
        <f t="shared" si="96"/>
        <v>86.854521625163827</v>
      </c>
      <c r="BX190" s="55">
        <f t="shared" si="96"/>
        <v>86.854521625163827</v>
      </c>
      <c r="BY190" s="55">
        <v>88.084521625163831</v>
      </c>
      <c r="BZ190" s="55">
        <f t="shared" si="97"/>
        <v>88.084521625163831</v>
      </c>
      <c r="CA190" s="45">
        <v>2004</v>
      </c>
      <c r="CB190" s="55">
        <f t="shared" si="91"/>
        <v>24.355864642523958</v>
      </c>
      <c r="CC190" s="46" t="s">
        <v>178</v>
      </c>
      <c r="CD190" s="46" t="s">
        <v>179</v>
      </c>
      <c r="CE190" s="46" t="s">
        <v>179</v>
      </c>
      <c r="CF190" s="46">
        <v>1</v>
      </c>
      <c r="CG190" s="46" t="str">
        <f t="shared" si="92"/>
        <v>No</v>
      </c>
      <c r="CH190" s="46" t="s">
        <v>29</v>
      </c>
      <c r="CI190" s="56">
        <v>380</v>
      </c>
      <c r="CJ190" s="46" t="s">
        <v>180</v>
      </c>
      <c r="CK190" s="46" t="s">
        <v>23</v>
      </c>
      <c r="CL190" s="49" t="s">
        <v>29</v>
      </c>
      <c r="CM190" s="50">
        <v>0</v>
      </c>
      <c r="CN190" s="50"/>
      <c r="CO190" s="50"/>
      <c r="CP190" s="46" t="s">
        <v>23</v>
      </c>
      <c r="CQ190" s="46" t="s">
        <v>24</v>
      </c>
      <c r="CR190" s="46">
        <v>7</v>
      </c>
      <c r="CS190" s="46" t="s">
        <v>854</v>
      </c>
      <c r="CT190" s="46" t="s">
        <v>53</v>
      </c>
      <c r="CU190" s="46" t="s">
        <v>29</v>
      </c>
      <c r="CV190" s="46" t="s">
        <v>23</v>
      </c>
      <c r="CW190" s="46" t="s">
        <v>23</v>
      </c>
      <c r="CX190" s="49" t="s">
        <v>749</v>
      </c>
      <c r="CY190" s="49" t="s">
        <v>194</v>
      </c>
      <c r="CZ190" s="49">
        <v>0</v>
      </c>
      <c r="DA190" s="49">
        <v>0</v>
      </c>
      <c r="DB190" s="64">
        <v>58955</v>
      </c>
      <c r="DC190" s="58">
        <v>27.79</v>
      </c>
      <c r="DD190" s="58">
        <v>36.11</v>
      </c>
      <c r="DE190" s="58">
        <v>18.420000000000002</v>
      </c>
      <c r="DF190" s="58">
        <v>15.299999999999999</v>
      </c>
      <c r="DG190" s="58">
        <v>2.3799999999999932</v>
      </c>
      <c r="DH190" s="58">
        <v>72.209999999999994</v>
      </c>
      <c r="DI190" s="45" t="s">
        <v>35</v>
      </c>
      <c r="DJ190" s="59" t="str">
        <f t="shared" si="93"/>
        <v>No single majority group</v>
      </c>
      <c r="DK190" s="65">
        <v>58955</v>
      </c>
      <c r="DL190" s="58">
        <v>27.79</v>
      </c>
      <c r="DM190" s="58">
        <v>36.11</v>
      </c>
      <c r="DN190" s="58">
        <v>18.420000000000002</v>
      </c>
      <c r="DO190" s="58">
        <v>72.209999999999994</v>
      </c>
      <c r="DP190" s="66">
        <v>52.95</v>
      </c>
      <c r="DQ190" s="67">
        <v>60512.31</v>
      </c>
      <c r="DR190" s="53">
        <v>15.4</v>
      </c>
      <c r="DS190" s="58">
        <v>71.400000000000006</v>
      </c>
      <c r="DT190" s="53">
        <v>55.3</v>
      </c>
      <c r="DU190" s="55">
        <v>2.83</v>
      </c>
      <c r="DV190" s="50">
        <v>34.799999999999997</v>
      </c>
      <c r="DW190" s="53">
        <v>79.400000000000006</v>
      </c>
      <c r="DX190" s="53">
        <v>98.56</v>
      </c>
      <c r="DY190" s="53">
        <v>55.088900000000002</v>
      </c>
      <c r="DZ190" s="63"/>
    </row>
    <row r="191" spans="1:130" s="5" customFormat="1" ht="14.25" hidden="1" customHeight="1">
      <c r="A191" s="45">
        <v>1173</v>
      </c>
      <c r="B191" s="46" t="s">
        <v>177</v>
      </c>
      <c r="C191" s="47">
        <v>2006</v>
      </c>
      <c r="D191" s="47" t="s">
        <v>21</v>
      </c>
      <c r="E191" s="46" t="s">
        <v>22</v>
      </c>
      <c r="F191" s="46">
        <v>4</v>
      </c>
      <c r="G191" s="48">
        <v>17000</v>
      </c>
      <c r="H191" s="46" t="s">
        <v>332</v>
      </c>
      <c r="I191" s="46">
        <v>3</v>
      </c>
      <c r="J191" s="46">
        <v>6</v>
      </c>
      <c r="K191" s="45" t="s">
        <v>192</v>
      </c>
      <c r="L191" s="45" t="s">
        <v>30</v>
      </c>
      <c r="M191" s="49" t="s">
        <v>29</v>
      </c>
      <c r="N191" s="49" t="s">
        <v>513</v>
      </c>
      <c r="O191" s="49"/>
      <c r="P191" s="45" t="s">
        <v>31</v>
      </c>
      <c r="Q191" s="49" t="s">
        <v>29</v>
      </c>
      <c r="R191" s="49">
        <v>2</v>
      </c>
      <c r="S191" s="50">
        <f t="shared" si="84"/>
        <v>33.333333333333329</v>
      </c>
      <c r="T191" s="49">
        <v>5</v>
      </c>
      <c r="U191" s="50">
        <f t="shared" si="85"/>
        <v>83.333333333333343</v>
      </c>
      <c r="V191" s="49" t="s">
        <v>875</v>
      </c>
      <c r="W191" s="49">
        <v>2</v>
      </c>
      <c r="X191" s="50">
        <f t="shared" si="86"/>
        <v>33.333333333333329</v>
      </c>
      <c r="Y191" s="51" t="str">
        <f t="shared" si="87"/>
        <v>No</v>
      </c>
      <c r="Z191" s="49" t="s">
        <v>29</v>
      </c>
      <c r="AA191" s="49" t="s">
        <v>29</v>
      </c>
      <c r="AB191" s="49" t="s">
        <v>29</v>
      </c>
      <c r="AC191" s="46" t="s">
        <v>26</v>
      </c>
      <c r="AD191" s="46" t="s">
        <v>27</v>
      </c>
      <c r="AE191" s="46" t="s">
        <v>73</v>
      </c>
      <c r="AF191" s="46" t="s">
        <v>29</v>
      </c>
      <c r="AG191" s="107"/>
      <c r="AH191" s="70">
        <f t="shared" si="98"/>
        <v>43077</v>
      </c>
      <c r="AI191" s="70">
        <f t="shared" si="98"/>
        <v>43077</v>
      </c>
      <c r="AJ191" s="108">
        <v>21.58</v>
      </c>
      <c r="AK191" s="104">
        <v>86.32</v>
      </c>
      <c r="AL191" s="108">
        <v>21.58</v>
      </c>
      <c r="AM191" s="108"/>
      <c r="AN191" s="53">
        <f t="shared" si="88"/>
        <v>86.32</v>
      </c>
      <c r="AO191" s="53">
        <v>17.14</v>
      </c>
      <c r="AP191" s="108"/>
      <c r="AQ191" s="108"/>
      <c r="AR191" s="108"/>
      <c r="AS191" s="108"/>
      <c r="AT191" s="108"/>
      <c r="AU191" s="108"/>
      <c r="AV191" s="108"/>
      <c r="AW191" s="108"/>
      <c r="AX191" s="108"/>
      <c r="AY191" s="108"/>
      <c r="AZ191" s="108"/>
      <c r="BA191" s="108"/>
      <c r="BB191" s="108"/>
      <c r="BC191" s="108"/>
      <c r="BD191" s="108"/>
      <c r="BE191" s="108"/>
      <c r="BF191" s="108"/>
      <c r="BG191" s="108"/>
      <c r="BH191" s="108"/>
      <c r="BI191" s="108"/>
      <c r="BJ191" s="108"/>
      <c r="BK191" s="108"/>
      <c r="BL191" s="108"/>
      <c r="BM191" s="108"/>
      <c r="BN191" s="108"/>
      <c r="BO191" s="108"/>
      <c r="BP191" s="108"/>
      <c r="BQ191" s="108"/>
      <c r="BR191" s="108"/>
      <c r="BS191" s="54" t="s">
        <v>23</v>
      </c>
      <c r="BT191" s="45" t="str">
        <f t="shared" si="81"/>
        <v>Yes</v>
      </c>
      <c r="BU191" s="45" t="str">
        <f t="shared" si="82"/>
        <v>Yes</v>
      </c>
      <c r="BV191" s="45" t="str">
        <f t="shared" si="83"/>
        <v>No</v>
      </c>
      <c r="BW191" s="55">
        <f t="shared" si="96"/>
        <v>86.854521625163827</v>
      </c>
      <c r="BX191" s="55">
        <f t="shared" si="96"/>
        <v>86.854521625163827</v>
      </c>
      <c r="BY191" s="55">
        <v>88.084521625163831</v>
      </c>
      <c r="BZ191" s="55">
        <f t="shared" si="97"/>
        <v>88.084521625163831</v>
      </c>
      <c r="CA191" s="45">
        <v>2004</v>
      </c>
      <c r="CB191" s="55">
        <f t="shared" si="91"/>
        <v>24.355864642523958</v>
      </c>
      <c r="CC191" s="46" t="s">
        <v>178</v>
      </c>
      <c r="CD191" s="46" t="s">
        <v>179</v>
      </c>
      <c r="CE191" s="46" t="s">
        <v>179</v>
      </c>
      <c r="CF191" s="46">
        <v>1</v>
      </c>
      <c r="CG191" s="46" t="str">
        <f t="shared" si="92"/>
        <v>No</v>
      </c>
      <c r="CH191" s="46" t="s">
        <v>29</v>
      </c>
      <c r="CI191" s="56">
        <v>380</v>
      </c>
      <c r="CJ191" s="46" t="s">
        <v>180</v>
      </c>
      <c r="CK191" s="46" t="s">
        <v>23</v>
      </c>
      <c r="CL191" s="49" t="s">
        <v>29</v>
      </c>
      <c r="CM191" s="50">
        <v>0</v>
      </c>
      <c r="CN191" s="50"/>
      <c r="CO191" s="50"/>
      <c r="CP191" s="46" t="s">
        <v>23</v>
      </c>
      <c r="CQ191" s="46" t="s">
        <v>24</v>
      </c>
      <c r="CR191" s="46">
        <v>7</v>
      </c>
      <c r="CS191" s="46" t="s">
        <v>854</v>
      </c>
      <c r="CT191" s="46" t="s">
        <v>53</v>
      </c>
      <c r="CU191" s="46" t="s">
        <v>29</v>
      </c>
      <c r="CV191" s="46" t="s">
        <v>23</v>
      </c>
      <c r="CW191" s="46" t="s">
        <v>23</v>
      </c>
      <c r="CX191" s="49" t="s">
        <v>749</v>
      </c>
      <c r="CY191" s="49" t="s">
        <v>194</v>
      </c>
      <c r="CZ191" s="49">
        <v>0</v>
      </c>
      <c r="DA191" s="49">
        <v>0</v>
      </c>
      <c r="DB191" s="64">
        <v>58955</v>
      </c>
      <c r="DC191" s="58">
        <v>27.79</v>
      </c>
      <c r="DD191" s="58">
        <v>36.11</v>
      </c>
      <c r="DE191" s="58">
        <v>18.420000000000002</v>
      </c>
      <c r="DF191" s="58">
        <v>15.299999999999999</v>
      </c>
      <c r="DG191" s="58">
        <v>2.3799999999999932</v>
      </c>
      <c r="DH191" s="58">
        <v>72.209999999999994</v>
      </c>
      <c r="DI191" s="45" t="s">
        <v>35</v>
      </c>
      <c r="DJ191" s="59" t="str">
        <f t="shared" si="93"/>
        <v>No single majority group</v>
      </c>
      <c r="DK191" s="65">
        <v>58955</v>
      </c>
      <c r="DL191" s="58">
        <v>27.79</v>
      </c>
      <c r="DM191" s="58">
        <v>36.11</v>
      </c>
      <c r="DN191" s="58">
        <v>18.420000000000002</v>
      </c>
      <c r="DO191" s="58">
        <v>72.209999999999994</v>
      </c>
      <c r="DP191" s="66">
        <v>52.95</v>
      </c>
      <c r="DQ191" s="67">
        <v>60512.31</v>
      </c>
      <c r="DR191" s="53">
        <v>15.4</v>
      </c>
      <c r="DS191" s="58">
        <v>71.400000000000006</v>
      </c>
      <c r="DT191" s="53">
        <v>55.3</v>
      </c>
      <c r="DU191" s="55">
        <v>2.83</v>
      </c>
      <c r="DV191" s="50">
        <v>34.799999999999997</v>
      </c>
      <c r="DW191" s="53">
        <v>79.400000000000006</v>
      </c>
      <c r="DX191" s="53">
        <v>98.56</v>
      </c>
      <c r="DY191" s="53">
        <v>55.088900000000002</v>
      </c>
      <c r="DZ191" s="63"/>
    </row>
    <row r="192" spans="1:130" s="5" customFormat="1" ht="14.25" hidden="1" customHeight="1">
      <c r="A192" s="45">
        <v>1174</v>
      </c>
      <c r="B192" s="46" t="s">
        <v>177</v>
      </c>
      <c r="C192" s="47">
        <v>2006</v>
      </c>
      <c r="D192" s="47" t="s">
        <v>185</v>
      </c>
      <c r="E192" s="46" t="s">
        <v>22</v>
      </c>
      <c r="F192" s="46">
        <v>2</v>
      </c>
      <c r="G192" s="48">
        <v>17000</v>
      </c>
      <c r="H192" s="46" t="s">
        <v>332</v>
      </c>
      <c r="I192" s="46">
        <v>1</v>
      </c>
      <c r="J192" s="46">
        <v>1</v>
      </c>
      <c r="K192" s="49" t="s">
        <v>198</v>
      </c>
      <c r="L192" s="49" t="s">
        <v>30</v>
      </c>
      <c r="M192" s="49" t="s">
        <v>29</v>
      </c>
      <c r="N192" s="49" t="s">
        <v>512</v>
      </c>
      <c r="O192" s="49"/>
      <c r="P192" s="49" t="s">
        <v>201</v>
      </c>
      <c r="Q192" s="49" t="s">
        <v>35</v>
      </c>
      <c r="R192" s="49">
        <v>0</v>
      </c>
      <c r="S192" s="50">
        <f t="shared" si="84"/>
        <v>0</v>
      </c>
      <c r="T192" s="49">
        <v>1</v>
      </c>
      <c r="U192" s="50">
        <f t="shared" si="85"/>
        <v>100</v>
      </c>
      <c r="V192" s="49" t="s">
        <v>858</v>
      </c>
      <c r="W192" s="49">
        <v>0</v>
      </c>
      <c r="X192" s="50">
        <f t="shared" si="86"/>
        <v>0</v>
      </c>
      <c r="Y192" s="51" t="str">
        <f t="shared" si="87"/>
        <v>No</v>
      </c>
      <c r="Z192" s="49" t="s">
        <v>35</v>
      </c>
      <c r="AA192" s="49" t="s">
        <v>23</v>
      </c>
      <c r="AB192" s="49" t="s">
        <v>23</v>
      </c>
      <c r="AC192" s="46" t="s">
        <v>26</v>
      </c>
      <c r="AD192" s="46" t="s">
        <v>27</v>
      </c>
      <c r="AE192" s="46" t="s">
        <v>73</v>
      </c>
      <c r="AF192" s="46" t="s">
        <v>35</v>
      </c>
      <c r="AG192" s="120"/>
      <c r="AH192" s="52">
        <v>13243</v>
      </c>
      <c r="AI192" s="52">
        <v>13243</v>
      </c>
      <c r="AJ192" s="102">
        <v>100</v>
      </c>
      <c r="AK192" s="104">
        <v>200</v>
      </c>
      <c r="AL192" s="102">
        <v>100</v>
      </c>
      <c r="AM192" s="102"/>
      <c r="AN192" s="53">
        <f t="shared" si="88"/>
        <v>200</v>
      </c>
      <c r="AO192" s="53" t="s">
        <v>23</v>
      </c>
      <c r="AP192" s="102"/>
      <c r="AQ192" s="102"/>
      <c r="AR192" s="50"/>
      <c r="AS192" s="50"/>
      <c r="AT192" s="102"/>
      <c r="AU192" s="102"/>
      <c r="AV192" s="50"/>
      <c r="AW192" s="50"/>
      <c r="AX192" s="50"/>
      <c r="AY192" s="50"/>
      <c r="AZ192" s="102"/>
      <c r="BA192" s="102"/>
      <c r="BB192" s="102"/>
      <c r="BC192" s="102"/>
      <c r="BD192" s="50"/>
      <c r="BE192" s="50"/>
      <c r="BF192" s="50"/>
      <c r="BG192" s="50"/>
      <c r="BH192" s="102"/>
      <c r="BI192" s="102"/>
      <c r="BJ192" s="50"/>
      <c r="BK192" s="50"/>
      <c r="BL192" s="50"/>
      <c r="BM192" s="50"/>
      <c r="BN192" s="102"/>
      <c r="BO192" s="50"/>
      <c r="BP192" s="50"/>
      <c r="BQ192" s="50"/>
      <c r="BR192" s="102"/>
      <c r="BS192" s="54" t="s">
        <v>23</v>
      </c>
      <c r="BT192" s="45" t="str">
        <f t="shared" si="81"/>
        <v>No</v>
      </c>
      <c r="BU192" s="45" t="str">
        <f t="shared" si="82"/>
        <v>No</v>
      </c>
      <c r="BV192" s="45" t="str">
        <f t="shared" si="83"/>
        <v>No</v>
      </c>
      <c r="BW192" s="55">
        <f t="shared" si="96"/>
        <v>86.854521625163827</v>
      </c>
      <c r="BX192" s="55">
        <f t="shared" si="96"/>
        <v>86.854521625163827</v>
      </c>
      <c r="BY192" s="55">
        <v>88.084521625163831</v>
      </c>
      <c r="BZ192" s="55">
        <f t="shared" si="97"/>
        <v>88.084521625163831</v>
      </c>
      <c r="CA192" s="45">
        <v>2004</v>
      </c>
      <c r="CB192" s="55">
        <f t="shared" si="91"/>
        <v>22.462895428716816</v>
      </c>
      <c r="CC192" s="46" t="s">
        <v>39</v>
      </c>
      <c r="CD192" s="46" t="s">
        <v>179</v>
      </c>
      <c r="CE192" s="46" t="s">
        <v>179</v>
      </c>
      <c r="CF192" s="46">
        <v>1</v>
      </c>
      <c r="CG192" s="46" t="str">
        <f t="shared" si="92"/>
        <v>No</v>
      </c>
      <c r="CH192" s="46" t="s">
        <v>29</v>
      </c>
      <c r="CI192" s="56">
        <v>380</v>
      </c>
      <c r="CJ192" s="46" t="s">
        <v>180</v>
      </c>
      <c r="CK192" s="46" t="s">
        <v>23</v>
      </c>
      <c r="CL192" s="49" t="s">
        <v>29</v>
      </c>
      <c r="CM192" s="50">
        <v>0</v>
      </c>
      <c r="CN192" s="50"/>
      <c r="CO192" s="50"/>
      <c r="CP192" s="46" t="s">
        <v>23</v>
      </c>
      <c r="CQ192" s="46" t="s">
        <v>24</v>
      </c>
      <c r="CR192" s="46">
        <v>7</v>
      </c>
      <c r="CS192" s="46" t="s">
        <v>854</v>
      </c>
      <c r="CT192" s="46" t="s">
        <v>53</v>
      </c>
      <c r="CU192" s="46" t="s">
        <v>29</v>
      </c>
      <c r="CV192" s="46" t="s">
        <v>23</v>
      </c>
      <c r="CW192" s="46" t="s">
        <v>23</v>
      </c>
      <c r="CX192" s="49" t="s">
        <v>749</v>
      </c>
      <c r="CY192" s="49" t="s">
        <v>194</v>
      </c>
      <c r="CZ192" s="49">
        <v>0</v>
      </c>
      <c r="DA192" s="49">
        <v>0</v>
      </c>
      <c r="DB192" s="64">
        <v>58955</v>
      </c>
      <c r="DC192" s="58">
        <v>27.79</v>
      </c>
      <c r="DD192" s="58">
        <v>36.11</v>
      </c>
      <c r="DE192" s="58">
        <v>18.420000000000002</v>
      </c>
      <c r="DF192" s="58">
        <v>15.299999999999999</v>
      </c>
      <c r="DG192" s="58">
        <v>2.3799999999999932</v>
      </c>
      <c r="DH192" s="58">
        <v>72.209999999999994</v>
      </c>
      <c r="DI192" s="45" t="s">
        <v>35</v>
      </c>
      <c r="DJ192" s="59" t="str">
        <f t="shared" si="93"/>
        <v>No single majority group</v>
      </c>
      <c r="DK192" s="65">
        <v>58955</v>
      </c>
      <c r="DL192" s="58">
        <v>27.79</v>
      </c>
      <c r="DM192" s="58">
        <v>36.11</v>
      </c>
      <c r="DN192" s="58">
        <v>18.420000000000002</v>
      </c>
      <c r="DO192" s="58">
        <v>72.209999999999994</v>
      </c>
      <c r="DP192" s="66">
        <v>52.95</v>
      </c>
      <c r="DQ192" s="67">
        <v>60512.31</v>
      </c>
      <c r="DR192" s="53">
        <v>15.4</v>
      </c>
      <c r="DS192" s="58">
        <v>71.400000000000006</v>
      </c>
      <c r="DT192" s="53">
        <v>55.3</v>
      </c>
      <c r="DU192" s="55">
        <v>2.83</v>
      </c>
      <c r="DV192" s="50">
        <v>34.799999999999997</v>
      </c>
      <c r="DW192" s="53">
        <v>79.400000000000006</v>
      </c>
      <c r="DX192" s="53">
        <v>98.56</v>
      </c>
      <c r="DY192" s="53">
        <v>55.088900000000002</v>
      </c>
      <c r="DZ192" s="63"/>
    </row>
    <row r="193" spans="1:130" s="5" customFormat="1" ht="14.25" hidden="1" customHeight="1">
      <c r="A193" s="45">
        <v>1170</v>
      </c>
      <c r="B193" s="46" t="s">
        <v>177</v>
      </c>
      <c r="C193" s="47">
        <v>2006</v>
      </c>
      <c r="D193" s="47" t="s">
        <v>38</v>
      </c>
      <c r="E193" s="46" t="s">
        <v>22</v>
      </c>
      <c r="F193" s="46">
        <v>4</v>
      </c>
      <c r="G193" s="48">
        <v>46500</v>
      </c>
      <c r="H193" s="46" t="s">
        <v>332</v>
      </c>
      <c r="I193" s="46">
        <v>1</v>
      </c>
      <c r="J193" s="46">
        <v>3</v>
      </c>
      <c r="K193" s="49" t="s">
        <v>183</v>
      </c>
      <c r="L193" s="49" t="s">
        <v>40</v>
      </c>
      <c r="M193" s="49" t="s">
        <v>35</v>
      </c>
      <c r="N193" s="49" t="s">
        <v>618</v>
      </c>
      <c r="O193" s="49"/>
      <c r="P193" s="49" t="s">
        <v>31</v>
      </c>
      <c r="Q193" s="49" t="s">
        <v>29</v>
      </c>
      <c r="R193" s="49">
        <v>2</v>
      </c>
      <c r="S193" s="50">
        <f t="shared" si="84"/>
        <v>66.666666666666657</v>
      </c>
      <c r="T193" s="49">
        <v>2</v>
      </c>
      <c r="U193" s="50">
        <f t="shared" si="85"/>
        <v>66.666666666666657</v>
      </c>
      <c r="V193" s="49" t="s">
        <v>867</v>
      </c>
      <c r="W193" s="49">
        <v>1</v>
      </c>
      <c r="X193" s="50">
        <f t="shared" si="86"/>
        <v>33.333333333333329</v>
      </c>
      <c r="Y193" s="51" t="str">
        <f t="shared" si="87"/>
        <v>No</v>
      </c>
      <c r="Z193" s="49" t="s">
        <v>29</v>
      </c>
      <c r="AA193" s="49" t="s">
        <v>35</v>
      </c>
      <c r="AB193" s="45" t="s">
        <v>35</v>
      </c>
      <c r="AC193" s="46" t="s">
        <v>26</v>
      </c>
      <c r="AD193" s="46" t="s">
        <v>27</v>
      </c>
      <c r="AE193" s="46" t="s">
        <v>73</v>
      </c>
      <c r="AF193" s="46" t="s">
        <v>29</v>
      </c>
      <c r="AG193" s="107"/>
      <c r="AH193" s="70">
        <f>SUM(5019+7343+7101)</f>
        <v>19463</v>
      </c>
      <c r="AI193" s="70">
        <f>SUM(5019+7343+7101)</f>
        <v>19463</v>
      </c>
      <c r="AJ193" s="102">
        <v>37.729999999999997</v>
      </c>
      <c r="AK193" s="104">
        <v>75.459999999999994</v>
      </c>
      <c r="AL193" s="102">
        <v>37.729999999999997</v>
      </c>
      <c r="AM193" s="102"/>
      <c r="AN193" s="53">
        <f t="shared" si="88"/>
        <v>75.459999999999994</v>
      </c>
      <c r="AO193" s="53">
        <v>36.479999999999997</v>
      </c>
      <c r="AP193" s="102"/>
      <c r="AQ193" s="102"/>
      <c r="AR193" s="102"/>
      <c r="AS193" s="102"/>
      <c r="AT193" s="102"/>
      <c r="AU193" s="102"/>
      <c r="AV193" s="102"/>
      <c r="AW193" s="102"/>
      <c r="AX193" s="102"/>
      <c r="AY193" s="102"/>
      <c r="AZ193" s="102"/>
      <c r="BA193" s="102"/>
      <c r="BB193" s="102"/>
      <c r="BC193" s="102"/>
      <c r="BD193" s="102"/>
      <c r="BE193" s="102"/>
      <c r="BF193" s="102"/>
      <c r="BG193" s="102"/>
      <c r="BH193" s="102"/>
      <c r="BI193" s="102"/>
      <c r="BJ193" s="102"/>
      <c r="BK193" s="102"/>
      <c r="BL193" s="102"/>
      <c r="BM193" s="102"/>
      <c r="BN193" s="102"/>
      <c r="BO193" s="102"/>
      <c r="BP193" s="102"/>
      <c r="BQ193" s="102"/>
      <c r="BR193" s="102"/>
      <c r="BS193" s="54" t="s">
        <v>23</v>
      </c>
      <c r="BT193" s="45" t="str">
        <f t="shared" si="81"/>
        <v>Yes</v>
      </c>
      <c r="BU193" s="45" t="str">
        <f t="shared" si="82"/>
        <v>Yes</v>
      </c>
      <c r="BV193" s="45" t="str">
        <f t="shared" si="83"/>
        <v>Yes</v>
      </c>
      <c r="BW193" s="55">
        <f t="shared" si="96"/>
        <v>86.854521625163827</v>
      </c>
      <c r="BX193" s="55">
        <f t="shared" si="96"/>
        <v>86.854521625163827</v>
      </c>
      <c r="BY193" s="55">
        <v>88.084521625163831</v>
      </c>
      <c r="BZ193" s="55">
        <f t="shared" si="97"/>
        <v>88.084521625163831</v>
      </c>
      <c r="CA193" s="45">
        <v>2004</v>
      </c>
      <c r="CB193" s="55">
        <f t="shared" si="91"/>
        <v>33.01331524043762</v>
      </c>
      <c r="CC193" s="46" t="s">
        <v>39</v>
      </c>
      <c r="CD193" s="46" t="s">
        <v>179</v>
      </c>
      <c r="CE193" s="46" t="s">
        <v>179</v>
      </c>
      <c r="CF193" s="46">
        <v>1</v>
      </c>
      <c r="CG193" s="46" t="str">
        <f t="shared" si="92"/>
        <v>No</v>
      </c>
      <c r="CH193" s="46" t="s">
        <v>35</v>
      </c>
      <c r="CI193" s="56">
        <v>900</v>
      </c>
      <c r="CJ193" s="46" t="s">
        <v>180</v>
      </c>
      <c r="CK193" s="46" t="s">
        <v>23</v>
      </c>
      <c r="CL193" s="49" t="s">
        <v>29</v>
      </c>
      <c r="CM193" s="50">
        <v>0</v>
      </c>
      <c r="CN193" s="50"/>
      <c r="CO193" s="50"/>
      <c r="CP193" s="46" t="s">
        <v>23</v>
      </c>
      <c r="CQ193" s="46" t="s">
        <v>23</v>
      </c>
      <c r="CR193" s="46">
        <v>7</v>
      </c>
      <c r="CS193" s="46" t="s">
        <v>854</v>
      </c>
      <c r="CT193" s="46" t="s">
        <v>53</v>
      </c>
      <c r="CU193" s="46" t="s">
        <v>29</v>
      </c>
      <c r="CV193" s="46" t="s">
        <v>23</v>
      </c>
      <c r="CW193" s="46" t="s">
        <v>23</v>
      </c>
      <c r="CX193" s="49" t="s">
        <v>749</v>
      </c>
      <c r="CY193" s="49" t="s">
        <v>194</v>
      </c>
      <c r="CZ193" s="49">
        <v>0</v>
      </c>
      <c r="DA193" s="49">
        <v>0</v>
      </c>
      <c r="DB193" s="64">
        <v>58955</v>
      </c>
      <c r="DC193" s="58">
        <v>27.79</v>
      </c>
      <c r="DD193" s="58">
        <v>36.11</v>
      </c>
      <c r="DE193" s="58">
        <v>18.420000000000002</v>
      </c>
      <c r="DF193" s="58">
        <v>15.299999999999999</v>
      </c>
      <c r="DG193" s="58">
        <v>2.3799999999999932</v>
      </c>
      <c r="DH193" s="58">
        <v>72.209999999999994</v>
      </c>
      <c r="DI193" s="45" t="s">
        <v>35</v>
      </c>
      <c r="DJ193" s="59" t="str">
        <f t="shared" si="93"/>
        <v>No single majority group</v>
      </c>
      <c r="DK193" s="65">
        <v>58955</v>
      </c>
      <c r="DL193" s="58">
        <v>27.79</v>
      </c>
      <c r="DM193" s="58">
        <v>36.11</v>
      </c>
      <c r="DN193" s="58">
        <v>18.420000000000002</v>
      </c>
      <c r="DO193" s="58">
        <v>72.209999999999994</v>
      </c>
      <c r="DP193" s="66">
        <v>52.95</v>
      </c>
      <c r="DQ193" s="67">
        <v>60512.31</v>
      </c>
      <c r="DR193" s="53">
        <v>15.4</v>
      </c>
      <c r="DS193" s="58">
        <v>71.400000000000006</v>
      </c>
      <c r="DT193" s="53">
        <v>55.3</v>
      </c>
      <c r="DU193" s="55">
        <v>2.83</v>
      </c>
      <c r="DV193" s="50">
        <v>34.799999999999997</v>
      </c>
      <c r="DW193" s="53">
        <v>79.400000000000006</v>
      </c>
      <c r="DX193" s="53">
        <v>98.56</v>
      </c>
      <c r="DY193" s="53">
        <v>55.088900000000002</v>
      </c>
      <c r="DZ193" s="63"/>
    </row>
    <row r="194" spans="1:130" s="5" customFormat="1" ht="14.25" hidden="1" customHeight="1">
      <c r="A194" s="45">
        <v>1167</v>
      </c>
      <c r="B194" s="46" t="s">
        <v>177</v>
      </c>
      <c r="C194" s="47">
        <v>2008</v>
      </c>
      <c r="D194" s="47" t="s">
        <v>21</v>
      </c>
      <c r="E194" s="46" t="s">
        <v>22</v>
      </c>
      <c r="F194" s="46">
        <v>4</v>
      </c>
      <c r="G194" s="48">
        <v>17000</v>
      </c>
      <c r="H194" s="46" t="s">
        <v>332</v>
      </c>
      <c r="I194" s="46">
        <v>3</v>
      </c>
      <c r="J194" s="46">
        <v>10</v>
      </c>
      <c r="K194" s="49" t="s">
        <v>187</v>
      </c>
      <c r="L194" s="49" t="s">
        <v>30</v>
      </c>
      <c r="M194" s="49" t="s">
        <v>29</v>
      </c>
      <c r="N194" s="49" t="s">
        <v>513</v>
      </c>
      <c r="O194" s="49"/>
      <c r="P194" s="49" t="s">
        <v>31</v>
      </c>
      <c r="Q194" s="49" t="s">
        <v>29</v>
      </c>
      <c r="R194" s="49">
        <v>1</v>
      </c>
      <c r="S194" s="50">
        <f t="shared" si="84"/>
        <v>10</v>
      </c>
      <c r="T194" s="49">
        <v>5</v>
      </c>
      <c r="U194" s="50">
        <f t="shared" si="85"/>
        <v>50</v>
      </c>
      <c r="V194" s="49" t="s">
        <v>875</v>
      </c>
      <c r="W194" s="49">
        <v>1</v>
      </c>
      <c r="X194" s="50">
        <f t="shared" si="86"/>
        <v>10</v>
      </c>
      <c r="Y194" s="51" t="str">
        <f t="shared" si="87"/>
        <v>No</v>
      </c>
      <c r="Z194" s="49" t="s">
        <v>29</v>
      </c>
      <c r="AA194" s="49" t="s">
        <v>29</v>
      </c>
      <c r="AB194" s="49" t="s">
        <v>29</v>
      </c>
      <c r="AC194" s="46" t="s">
        <v>26</v>
      </c>
      <c r="AD194" s="46" t="s">
        <v>27</v>
      </c>
      <c r="AE194" s="46" t="s">
        <v>89</v>
      </c>
      <c r="AF194" s="46" t="s">
        <v>29</v>
      </c>
      <c r="AG194" s="107">
        <v>105063</v>
      </c>
      <c r="AH194" s="70">
        <f t="shared" ref="AH194:AI196" si="99">SUM(12180+
9627+
5735+
1495+
2661+
11555+
11090+
7372+
11548+
1781+
157)</f>
        <v>75201</v>
      </c>
      <c r="AI194" s="70">
        <f t="shared" si="99"/>
        <v>75201</v>
      </c>
      <c r="AJ194" s="102">
        <v>15.36</v>
      </c>
      <c r="AK194" s="104">
        <v>61.44</v>
      </c>
      <c r="AL194" s="102">
        <v>15.36</v>
      </c>
      <c r="AM194" s="102"/>
      <c r="AN194" s="53">
        <f t="shared" si="88"/>
        <v>61.44</v>
      </c>
      <c r="AO194" s="53">
        <v>14.75</v>
      </c>
      <c r="AP194" s="102">
        <v>29862</v>
      </c>
      <c r="AQ194" s="102">
        <v>28.422946232260642</v>
      </c>
      <c r="AR194" s="102"/>
      <c r="AS194" s="102"/>
      <c r="AT194" s="102"/>
      <c r="AU194" s="102"/>
      <c r="AV194" s="50"/>
      <c r="AW194" s="50"/>
      <c r="AX194" s="102"/>
      <c r="AY194" s="102"/>
      <c r="AZ194" s="102"/>
      <c r="BA194" s="102"/>
      <c r="BB194" s="102"/>
      <c r="BC194" s="102"/>
      <c r="BD194" s="102"/>
      <c r="BE194" s="102"/>
      <c r="BF194" s="102"/>
      <c r="BG194" s="102"/>
      <c r="BH194" s="102"/>
      <c r="BI194" s="102"/>
      <c r="BJ194" s="50"/>
      <c r="BK194" s="50"/>
      <c r="BL194" s="50"/>
      <c r="BM194" s="50"/>
      <c r="BN194" s="102"/>
      <c r="BO194" s="102"/>
      <c r="BP194" s="102"/>
      <c r="BQ194" s="102"/>
      <c r="BR194" s="102"/>
      <c r="BS194" s="54" t="s">
        <v>23</v>
      </c>
      <c r="BT194" s="45" t="str">
        <f t="shared" si="81"/>
        <v>Yes</v>
      </c>
      <c r="BU194" s="45" t="str">
        <f t="shared" si="82"/>
        <v>Yes</v>
      </c>
      <c r="BV194" s="45" t="str">
        <f t="shared" si="83"/>
        <v>Yes</v>
      </c>
      <c r="BW194" s="55">
        <v>89.308398023994357</v>
      </c>
      <c r="BX194" s="55">
        <v>89.308398023994357</v>
      </c>
      <c r="BY194" s="55">
        <v>85.673398023994352</v>
      </c>
      <c r="BZ194" s="55">
        <f t="shared" ref="BZ194:BZ200" si="100">BX194-(0.0727*100/2)</f>
        <v>85.673398023994352</v>
      </c>
      <c r="CA194" s="45">
        <v>2008</v>
      </c>
      <c r="CB194" s="55">
        <f t="shared" si="91"/>
        <v>42.84957264957265</v>
      </c>
      <c r="CC194" s="46" t="s">
        <v>178</v>
      </c>
      <c r="CD194" s="46" t="s">
        <v>179</v>
      </c>
      <c r="CE194" s="46" t="s">
        <v>179</v>
      </c>
      <c r="CF194" s="46">
        <v>1</v>
      </c>
      <c r="CG194" s="46" t="str">
        <f t="shared" si="92"/>
        <v>No</v>
      </c>
      <c r="CH194" s="46" t="s">
        <v>29</v>
      </c>
      <c r="CI194" s="56">
        <v>400</v>
      </c>
      <c r="CJ194" s="46" t="s">
        <v>180</v>
      </c>
      <c r="CK194" s="46" t="s">
        <v>23</v>
      </c>
      <c r="CL194" s="49" t="s">
        <v>35</v>
      </c>
      <c r="CM194" s="50">
        <f>(6/10)*100</f>
        <v>60</v>
      </c>
      <c r="CN194" s="50"/>
      <c r="CO194" s="50"/>
      <c r="CP194" s="46" t="s">
        <v>23</v>
      </c>
      <c r="CQ194" s="46" t="s">
        <v>24</v>
      </c>
      <c r="CR194" s="46">
        <v>7</v>
      </c>
      <c r="CS194" s="46" t="s">
        <v>854</v>
      </c>
      <c r="CT194" s="46" t="s">
        <v>53</v>
      </c>
      <c r="CU194" s="46" t="s">
        <v>29</v>
      </c>
      <c r="CV194" s="46" t="s">
        <v>23</v>
      </c>
      <c r="CW194" s="46" t="s">
        <v>23</v>
      </c>
      <c r="CX194" s="49" t="s">
        <v>748</v>
      </c>
      <c r="CY194" s="49" t="s">
        <v>194</v>
      </c>
      <c r="CZ194" s="49">
        <v>0</v>
      </c>
      <c r="DA194" s="49">
        <v>0</v>
      </c>
      <c r="DB194" s="64">
        <v>58500</v>
      </c>
      <c r="DC194" s="58">
        <v>26.6</v>
      </c>
      <c r="DD194" s="58">
        <v>36.75</v>
      </c>
      <c r="DE194" s="58">
        <v>19.52</v>
      </c>
      <c r="DF194" s="58">
        <v>14.93</v>
      </c>
      <c r="DG194" s="58">
        <v>2.200000000000002</v>
      </c>
      <c r="DH194" s="58">
        <v>73.400000000000006</v>
      </c>
      <c r="DI194" s="45" t="s">
        <v>35</v>
      </c>
      <c r="DJ194" s="59" t="str">
        <f t="shared" si="93"/>
        <v>No single majority group</v>
      </c>
      <c r="DK194" s="65">
        <v>58500</v>
      </c>
      <c r="DL194" s="58">
        <v>26.6</v>
      </c>
      <c r="DM194" s="58">
        <v>36.75</v>
      </c>
      <c r="DN194" s="58">
        <v>19.52</v>
      </c>
      <c r="DO194" s="58">
        <v>73.400000000000006</v>
      </c>
      <c r="DP194" s="66">
        <v>54</v>
      </c>
      <c r="DQ194" s="67">
        <v>58177.59</v>
      </c>
      <c r="DR194" s="53">
        <v>16.399999999999999</v>
      </c>
      <c r="DS194" s="58">
        <v>71.8</v>
      </c>
      <c r="DT194" s="53">
        <v>54</v>
      </c>
      <c r="DU194" s="55">
        <v>2.82</v>
      </c>
      <c r="DV194" s="102">
        <v>34.5</v>
      </c>
      <c r="DW194" s="73">
        <v>79.599999999999994</v>
      </c>
      <c r="DX194" s="53">
        <v>101.39</v>
      </c>
      <c r="DY194" s="53">
        <v>59.557600000000001</v>
      </c>
      <c r="DZ194" s="63"/>
    </row>
    <row r="195" spans="1:130" s="5" customFormat="1" ht="14.25" hidden="1" customHeight="1">
      <c r="A195" s="45">
        <v>1168</v>
      </c>
      <c r="B195" s="46" t="s">
        <v>177</v>
      </c>
      <c r="C195" s="47">
        <v>2008</v>
      </c>
      <c r="D195" s="47" t="s">
        <v>21</v>
      </c>
      <c r="E195" s="46" t="s">
        <v>22</v>
      </c>
      <c r="F195" s="46">
        <v>4</v>
      </c>
      <c r="G195" s="48">
        <v>17000</v>
      </c>
      <c r="H195" s="46" t="s">
        <v>332</v>
      </c>
      <c r="I195" s="46">
        <v>3</v>
      </c>
      <c r="J195" s="46">
        <v>10</v>
      </c>
      <c r="K195" s="49" t="s">
        <v>195</v>
      </c>
      <c r="L195" s="49" t="s">
        <v>30</v>
      </c>
      <c r="M195" s="49" t="s">
        <v>29</v>
      </c>
      <c r="N195" s="49" t="s">
        <v>513</v>
      </c>
      <c r="O195" s="49"/>
      <c r="P195" s="49" t="s">
        <v>201</v>
      </c>
      <c r="Q195" s="49" t="s">
        <v>35</v>
      </c>
      <c r="R195" s="49">
        <v>1</v>
      </c>
      <c r="S195" s="50">
        <f t="shared" si="84"/>
        <v>10</v>
      </c>
      <c r="T195" s="49">
        <v>5</v>
      </c>
      <c r="U195" s="50">
        <f t="shared" si="85"/>
        <v>50</v>
      </c>
      <c r="V195" s="49" t="s">
        <v>875</v>
      </c>
      <c r="W195" s="49">
        <v>1</v>
      </c>
      <c r="X195" s="50">
        <f t="shared" si="86"/>
        <v>10</v>
      </c>
      <c r="Y195" s="51" t="str">
        <f t="shared" si="87"/>
        <v>No</v>
      </c>
      <c r="Z195" s="49" t="s">
        <v>29</v>
      </c>
      <c r="AA195" s="49" t="s">
        <v>35</v>
      </c>
      <c r="AB195" s="49" t="s">
        <v>29</v>
      </c>
      <c r="AC195" s="46" t="s">
        <v>26</v>
      </c>
      <c r="AD195" s="46" t="s">
        <v>27</v>
      </c>
      <c r="AE195" s="46" t="s">
        <v>89</v>
      </c>
      <c r="AF195" s="46" t="s">
        <v>29</v>
      </c>
      <c r="AG195" s="107">
        <v>105063</v>
      </c>
      <c r="AH195" s="70">
        <f t="shared" si="99"/>
        <v>75201</v>
      </c>
      <c r="AI195" s="70">
        <f t="shared" si="99"/>
        <v>75201</v>
      </c>
      <c r="AJ195" s="102">
        <v>15.37</v>
      </c>
      <c r="AK195" s="104">
        <v>61.48</v>
      </c>
      <c r="AL195" s="102">
        <v>15.37</v>
      </c>
      <c r="AM195" s="102"/>
      <c r="AN195" s="53">
        <f t="shared" si="88"/>
        <v>61.48</v>
      </c>
      <c r="AO195" s="53">
        <v>14.75</v>
      </c>
      <c r="AP195" s="102">
        <v>29862</v>
      </c>
      <c r="AQ195" s="102">
        <v>28.422946232260642</v>
      </c>
      <c r="AR195" s="102"/>
      <c r="AS195" s="102"/>
      <c r="AT195" s="102"/>
      <c r="AU195" s="102"/>
      <c r="AV195" s="50"/>
      <c r="AW195" s="50"/>
      <c r="AX195" s="102"/>
      <c r="AY195" s="102"/>
      <c r="AZ195" s="102"/>
      <c r="BA195" s="102"/>
      <c r="BB195" s="102"/>
      <c r="BC195" s="102"/>
      <c r="BD195" s="102"/>
      <c r="BE195" s="102"/>
      <c r="BF195" s="102"/>
      <c r="BG195" s="102"/>
      <c r="BH195" s="102"/>
      <c r="BI195" s="102"/>
      <c r="BJ195" s="50"/>
      <c r="BK195" s="50"/>
      <c r="BL195" s="50"/>
      <c r="BM195" s="50"/>
      <c r="BN195" s="102"/>
      <c r="BO195" s="102"/>
      <c r="BP195" s="102"/>
      <c r="BQ195" s="102"/>
      <c r="BR195" s="102"/>
      <c r="BS195" s="54" t="s">
        <v>23</v>
      </c>
      <c r="BT195" s="45" t="str">
        <f t="shared" si="81"/>
        <v>Yes</v>
      </c>
      <c r="BU195" s="45" t="str">
        <f t="shared" si="82"/>
        <v>Yes</v>
      </c>
      <c r="BV195" s="45" t="str">
        <f t="shared" si="83"/>
        <v>Yes</v>
      </c>
      <c r="BW195" s="55">
        <v>89.308398023994357</v>
      </c>
      <c r="BX195" s="55">
        <v>89.308398023994357</v>
      </c>
      <c r="BY195" s="55">
        <v>85.673398023994352</v>
      </c>
      <c r="BZ195" s="55">
        <f t="shared" si="100"/>
        <v>85.673398023994352</v>
      </c>
      <c r="CA195" s="45">
        <v>2008</v>
      </c>
      <c r="CB195" s="55">
        <f t="shared" si="91"/>
        <v>42.84957264957265</v>
      </c>
      <c r="CC195" s="46" t="s">
        <v>178</v>
      </c>
      <c r="CD195" s="46" t="s">
        <v>179</v>
      </c>
      <c r="CE195" s="46" t="s">
        <v>179</v>
      </c>
      <c r="CF195" s="46">
        <v>1</v>
      </c>
      <c r="CG195" s="46" t="str">
        <f t="shared" si="92"/>
        <v>No</v>
      </c>
      <c r="CH195" s="46" t="s">
        <v>29</v>
      </c>
      <c r="CI195" s="56">
        <v>400</v>
      </c>
      <c r="CJ195" s="46" t="s">
        <v>180</v>
      </c>
      <c r="CK195" s="46" t="s">
        <v>23</v>
      </c>
      <c r="CL195" s="49" t="s">
        <v>35</v>
      </c>
      <c r="CM195" s="50">
        <f>(6/10)*100</f>
        <v>60</v>
      </c>
      <c r="CN195" s="50"/>
      <c r="CO195" s="50"/>
      <c r="CP195" s="46" t="s">
        <v>23</v>
      </c>
      <c r="CQ195" s="46" t="s">
        <v>24</v>
      </c>
      <c r="CR195" s="46">
        <v>7</v>
      </c>
      <c r="CS195" s="46" t="s">
        <v>854</v>
      </c>
      <c r="CT195" s="46" t="s">
        <v>53</v>
      </c>
      <c r="CU195" s="46" t="s">
        <v>29</v>
      </c>
      <c r="CV195" s="46" t="s">
        <v>23</v>
      </c>
      <c r="CW195" s="46" t="s">
        <v>23</v>
      </c>
      <c r="CX195" s="49" t="s">
        <v>748</v>
      </c>
      <c r="CY195" s="49" t="s">
        <v>194</v>
      </c>
      <c r="CZ195" s="49">
        <v>0</v>
      </c>
      <c r="DA195" s="49">
        <v>0</v>
      </c>
      <c r="DB195" s="64">
        <v>58500</v>
      </c>
      <c r="DC195" s="58">
        <v>26.6</v>
      </c>
      <c r="DD195" s="58">
        <v>36.75</v>
      </c>
      <c r="DE195" s="58">
        <v>19.52</v>
      </c>
      <c r="DF195" s="58">
        <v>14.93</v>
      </c>
      <c r="DG195" s="58">
        <v>2.200000000000002</v>
      </c>
      <c r="DH195" s="58">
        <v>73.400000000000006</v>
      </c>
      <c r="DI195" s="45" t="s">
        <v>35</v>
      </c>
      <c r="DJ195" s="59" t="str">
        <f t="shared" si="93"/>
        <v>No single majority group</v>
      </c>
      <c r="DK195" s="65">
        <v>58500</v>
      </c>
      <c r="DL195" s="58">
        <v>26.6</v>
      </c>
      <c r="DM195" s="58">
        <v>36.75</v>
      </c>
      <c r="DN195" s="58">
        <v>19.52</v>
      </c>
      <c r="DO195" s="58">
        <v>73.400000000000006</v>
      </c>
      <c r="DP195" s="66">
        <v>54</v>
      </c>
      <c r="DQ195" s="67">
        <v>58177.59</v>
      </c>
      <c r="DR195" s="53">
        <v>16.399999999999999</v>
      </c>
      <c r="DS195" s="58">
        <v>71.8</v>
      </c>
      <c r="DT195" s="53">
        <v>54</v>
      </c>
      <c r="DU195" s="55">
        <v>2.82</v>
      </c>
      <c r="DV195" s="102">
        <v>34.5</v>
      </c>
      <c r="DW195" s="73">
        <v>79.599999999999994</v>
      </c>
      <c r="DX195" s="53">
        <v>101.39</v>
      </c>
      <c r="DY195" s="53">
        <v>59.557600000000001</v>
      </c>
      <c r="DZ195" s="63"/>
    </row>
    <row r="196" spans="1:130" s="5" customFormat="1" ht="14.25" hidden="1" customHeight="1">
      <c r="A196" s="45">
        <v>1169</v>
      </c>
      <c r="B196" s="46" t="s">
        <v>177</v>
      </c>
      <c r="C196" s="47">
        <v>2008</v>
      </c>
      <c r="D196" s="47" t="s">
        <v>21</v>
      </c>
      <c r="E196" s="46" t="s">
        <v>22</v>
      </c>
      <c r="F196" s="46">
        <v>4</v>
      </c>
      <c r="G196" s="48">
        <v>17000</v>
      </c>
      <c r="H196" s="46" t="s">
        <v>332</v>
      </c>
      <c r="I196" s="46">
        <v>3</v>
      </c>
      <c r="J196" s="46">
        <v>10</v>
      </c>
      <c r="K196" s="49" t="s">
        <v>193</v>
      </c>
      <c r="L196" s="49" t="s">
        <v>30</v>
      </c>
      <c r="M196" s="49" t="s">
        <v>29</v>
      </c>
      <c r="N196" s="49" t="s">
        <v>618</v>
      </c>
      <c r="O196" s="49"/>
      <c r="P196" s="49" t="s">
        <v>31</v>
      </c>
      <c r="Q196" s="49" t="s">
        <v>29</v>
      </c>
      <c r="R196" s="49">
        <v>1</v>
      </c>
      <c r="S196" s="50">
        <f t="shared" si="84"/>
        <v>10</v>
      </c>
      <c r="T196" s="49">
        <v>5</v>
      </c>
      <c r="U196" s="50">
        <f t="shared" si="85"/>
        <v>50</v>
      </c>
      <c r="V196" s="49" t="s">
        <v>875</v>
      </c>
      <c r="W196" s="49">
        <v>1</v>
      </c>
      <c r="X196" s="50">
        <f t="shared" si="86"/>
        <v>10</v>
      </c>
      <c r="Y196" s="51" t="str">
        <f t="shared" si="87"/>
        <v>No</v>
      </c>
      <c r="Z196" s="49" t="s">
        <v>29</v>
      </c>
      <c r="AA196" s="49" t="s">
        <v>29</v>
      </c>
      <c r="AB196" s="49" t="s">
        <v>29</v>
      </c>
      <c r="AC196" s="46" t="s">
        <v>26</v>
      </c>
      <c r="AD196" s="46" t="s">
        <v>27</v>
      </c>
      <c r="AE196" s="46" t="s">
        <v>89</v>
      </c>
      <c r="AF196" s="46" t="s">
        <v>29</v>
      </c>
      <c r="AG196" s="107">
        <v>105063</v>
      </c>
      <c r="AH196" s="70">
        <f t="shared" si="99"/>
        <v>75201</v>
      </c>
      <c r="AI196" s="70">
        <f t="shared" si="99"/>
        <v>75201</v>
      </c>
      <c r="AJ196" s="102">
        <v>16.2</v>
      </c>
      <c r="AK196" s="104">
        <v>64.8</v>
      </c>
      <c r="AL196" s="102">
        <v>16.2</v>
      </c>
      <c r="AM196" s="102"/>
      <c r="AN196" s="53">
        <f t="shared" si="88"/>
        <v>64.8</v>
      </c>
      <c r="AO196" s="53">
        <v>14.75</v>
      </c>
      <c r="AP196" s="102">
        <v>29862</v>
      </c>
      <c r="AQ196" s="102">
        <v>28.422946232260642</v>
      </c>
      <c r="AR196" s="102"/>
      <c r="AS196" s="102"/>
      <c r="AT196" s="102"/>
      <c r="AU196" s="102"/>
      <c r="AV196" s="102"/>
      <c r="AW196" s="102"/>
      <c r="AX196" s="102"/>
      <c r="AY196" s="102"/>
      <c r="AZ196" s="102"/>
      <c r="BA196" s="102"/>
      <c r="BB196" s="102"/>
      <c r="BC196" s="102"/>
      <c r="BD196" s="102"/>
      <c r="BE196" s="102"/>
      <c r="BF196" s="102"/>
      <c r="BG196" s="102"/>
      <c r="BH196" s="102"/>
      <c r="BI196" s="102"/>
      <c r="BJ196" s="102"/>
      <c r="BK196" s="102"/>
      <c r="BL196" s="102"/>
      <c r="BM196" s="102"/>
      <c r="BN196" s="102"/>
      <c r="BO196" s="102"/>
      <c r="BP196" s="102"/>
      <c r="BQ196" s="102"/>
      <c r="BR196" s="102"/>
      <c r="BS196" s="54" t="s">
        <v>23</v>
      </c>
      <c r="BT196" s="45" t="str">
        <f t="shared" si="81"/>
        <v>Yes</v>
      </c>
      <c r="BU196" s="45" t="str">
        <f t="shared" si="82"/>
        <v>Yes</v>
      </c>
      <c r="BV196" s="45" t="str">
        <f t="shared" si="83"/>
        <v>Yes</v>
      </c>
      <c r="BW196" s="55">
        <v>89.3083980239944</v>
      </c>
      <c r="BX196" s="55">
        <v>89.3083980239944</v>
      </c>
      <c r="BY196" s="55">
        <v>85.673398023994395</v>
      </c>
      <c r="BZ196" s="55">
        <f t="shared" si="100"/>
        <v>85.673398023994395</v>
      </c>
      <c r="CA196" s="45">
        <v>2008</v>
      </c>
      <c r="CB196" s="55">
        <f t="shared" si="91"/>
        <v>42.84957264957265</v>
      </c>
      <c r="CC196" s="46" t="s">
        <v>178</v>
      </c>
      <c r="CD196" s="46" t="s">
        <v>179</v>
      </c>
      <c r="CE196" s="46" t="s">
        <v>179</v>
      </c>
      <c r="CF196" s="46">
        <v>1</v>
      </c>
      <c r="CG196" s="46" t="str">
        <f t="shared" si="92"/>
        <v>No</v>
      </c>
      <c r="CH196" s="46" t="s">
        <v>29</v>
      </c>
      <c r="CI196" s="56">
        <v>400</v>
      </c>
      <c r="CJ196" s="46" t="s">
        <v>180</v>
      </c>
      <c r="CK196" s="46" t="s">
        <v>23</v>
      </c>
      <c r="CL196" s="49" t="s">
        <v>35</v>
      </c>
      <c r="CM196" s="50">
        <f>(6/10)*100</f>
        <v>60</v>
      </c>
      <c r="CN196" s="50"/>
      <c r="CO196" s="50"/>
      <c r="CP196" s="46" t="s">
        <v>23</v>
      </c>
      <c r="CQ196" s="46" t="s">
        <v>24</v>
      </c>
      <c r="CR196" s="46">
        <v>7</v>
      </c>
      <c r="CS196" s="46" t="s">
        <v>854</v>
      </c>
      <c r="CT196" s="46" t="s">
        <v>53</v>
      </c>
      <c r="CU196" s="46" t="s">
        <v>29</v>
      </c>
      <c r="CV196" s="46" t="s">
        <v>23</v>
      </c>
      <c r="CW196" s="46" t="s">
        <v>23</v>
      </c>
      <c r="CX196" s="49" t="s">
        <v>748</v>
      </c>
      <c r="CY196" s="49" t="s">
        <v>194</v>
      </c>
      <c r="CZ196" s="49">
        <v>0</v>
      </c>
      <c r="DA196" s="49">
        <v>0</v>
      </c>
      <c r="DB196" s="64">
        <v>58500</v>
      </c>
      <c r="DC196" s="58">
        <v>26.6</v>
      </c>
      <c r="DD196" s="58">
        <v>36.75</v>
      </c>
      <c r="DE196" s="58">
        <v>19.52</v>
      </c>
      <c r="DF196" s="58">
        <v>14.93</v>
      </c>
      <c r="DG196" s="58">
        <v>2.200000000000002</v>
      </c>
      <c r="DH196" s="58">
        <v>73.400000000000006</v>
      </c>
      <c r="DI196" s="45" t="s">
        <v>35</v>
      </c>
      <c r="DJ196" s="59" t="str">
        <f t="shared" si="93"/>
        <v>No single majority group</v>
      </c>
      <c r="DK196" s="65">
        <v>58500</v>
      </c>
      <c r="DL196" s="58">
        <v>26.6</v>
      </c>
      <c r="DM196" s="58">
        <v>36.75</v>
      </c>
      <c r="DN196" s="58">
        <v>19.52</v>
      </c>
      <c r="DO196" s="58">
        <v>73.400000000000006</v>
      </c>
      <c r="DP196" s="66">
        <v>54</v>
      </c>
      <c r="DQ196" s="67">
        <v>58177.59</v>
      </c>
      <c r="DR196" s="53">
        <v>16.399999999999999</v>
      </c>
      <c r="DS196" s="58">
        <v>71.8</v>
      </c>
      <c r="DT196" s="53">
        <v>54</v>
      </c>
      <c r="DU196" s="55">
        <v>2.82</v>
      </c>
      <c r="DV196" s="102">
        <v>34.5</v>
      </c>
      <c r="DW196" s="73">
        <v>79.599999999999994</v>
      </c>
      <c r="DX196" s="53">
        <v>101.39</v>
      </c>
      <c r="DY196" s="53">
        <v>59.557600000000001</v>
      </c>
      <c r="DZ196" s="63"/>
    </row>
    <row r="197" spans="1:130" s="5" customFormat="1" ht="14.25" hidden="1" customHeight="1">
      <c r="A197" s="45">
        <v>1163</v>
      </c>
      <c r="B197" s="46" t="s">
        <v>177</v>
      </c>
      <c r="C197" s="47">
        <v>2010</v>
      </c>
      <c r="D197" s="47" t="s">
        <v>21</v>
      </c>
      <c r="E197" s="46" t="s">
        <v>22</v>
      </c>
      <c r="F197" s="46">
        <v>4</v>
      </c>
      <c r="G197" s="48">
        <v>17000</v>
      </c>
      <c r="H197" s="46" t="s">
        <v>332</v>
      </c>
      <c r="I197" s="46">
        <v>3</v>
      </c>
      <c r="J197" s="46">
        <v>10</v>
      </c>
      <c r="K197" s="49" t="s">
        <v>184</v>
      </c>
      <c r="L197" s="49" t="s">
        <v>40</v>
      </c>
      <c r="M197" s="49" t="s">
        <v>35</v>
      </c>
      <c r="N197" s="49" t="s">
        <v>618</v>
      </c>
      <c r="O197" s="49"/>
      <c r="P197" s="49" t="s">
        <v>912</v>
      </c>
      <c r="Q197" s="49" t="s">
        <v>35</v>
      </c>
      <c r="R197" s="49">
        <v>5</v>
      </c>
      <c r="S197" s="50">
        <f t="shared" si="84"/>
        <v>50</v>
      </c>
      <c r="T197" s="49">
        <v>8</v>
      </c>
      <c r="U197" s="50">
        <f t="shared" si="85"/>
        <v>80</v>
      </c>
      <c r="V197" s="49" t="s">
        <v>876</v>
      </c>
      <c r="W197" s="49">
        <v>4</v>
      </c>
      <c r="X197" s="50">
        <f t="shared" si="86"/>
        <v>40</v>
      </c>
      <c r="Y197" s="51" t="str">
        <f t="shared" si="87"/>
        <v>Yes</v>
      </c>
      <c r="Z197" s="49" t="s">
        <v>29</v>
      </c>
      <c r="AA197" s="49" t="s">
        <v>35</v>
      </c>
      <c r="AB197" s="45" t="s">
        <v>35</v>
      </c>
      <c r="AC197" s="46" t="s">
        <v>26</v>
      </c>
      <c r="AD197" s="46" t="s">
        <v>27</v>
      </c>
      <c r="AE197" s="46" t="s">
        <v>73</v>
      </c>
      <c r="AF197" s="46" t="s">
        <v>29</v>
      </c>
      <c r="AG197" s="107">
        <v>76122</v>
      </c>
      <c r="AH197" s="70">
        <f t="shared" ref="AH197:AI199" si="101">SUM(8695+
8839+
8135+
4551+
6813+
7178+
2966+
1387+
6564+
5705+
72)</f>
        <v>60905</v>
      </c>
      <c r="AI197" s="70">
        <f t="shared" si="101"/>
        <v>60905</v>
      </c>
      <c r="AJ197" s="102">
        <v>13.36</v>
      </c>
      <c r="AK197" s="104">
        <v>53.44</v>
      </c>
      <c r="AL197" s="102">
        <v>13.36</v>
      </c>
      <c r="AM197" s="102"/>
      <c r="AN197" s="53">
        <f t="shared" si="88"/>
        <v>53.44</v>
      </c>
      <c r="AO197" s="53">
        <v>11.79</v>
      </c>
      <c r="AP197" s="102">
        <v>15217</v>
      </c>
      <c r="AQ197" s="102">
        <v>19.99027876303828</v>
      </c>
      <c r="AR197" s="102"/>
      <c r="AS197" s="102"/>
      <c r="AT197" s="102"/>
      <c r="AU197" s="102"/>
      <c r="AV197" s="102"/>
      <c r="AW197" s="102"/>
      <c r="AX197" s="102"/>
      <c r="AY197" s="102"/>
      <c r="AZ197" s="102"/>
      <c r="BA197" s="102"/>
      <c r="BB197" s="102"/>
      <c r="BC197" s="102"/>
      <c r="BD197" s="102"/>
      <c r="BE197" s="102"/>
      <c r="BF197" s="102"/>
      <c r="BG197" s="102"/>
      <c r="BH197" s="102"/>
      <c r="BI197" s="102"/>
      <c r="BJ197" s="102"/>
      <c r="BK197" s="102"/>
      <c r="BL197" s="102"/>
      <c r="BM197" s="102"/>
      <c r="BN197" s="102"/>
      <c r="BO197" s="102"/>
      <c r="BP197" s="102"/>
      <c r="BQ197" s="102"/>
      <c r="BR197" s="102"/>
      <c r="BS197" s="54" t="s">
        <v>23</v>
      </c>
      <c r="BT197" s="45" t="str">
        <f t="shared" ref="BT197:BT228" si="102">IF(J197=I197, "No", IF(AJ197/AO197&lt;2, "Yes", "No"))</f>
        <v>Yes</v>
      </c>
      <c r="BU197" s="45" t="str">
        <f t="shared" ref="BU197:BU228" si="103">IF(J197=I197, "No", IF(AJ197/AO197&lt;1.5, "Yes", "No"))</f>
        <v>Yes</v>
      </c>
      <c r="BV197" s="45" t="str">
        <f t="shared" ref="BV197:BV228" si="104">IF(J197=I197, "No", IF((ABS(AJ197-AO197))&lt;(5/I197), "Yes", "No"))</f>
        <v>Yes</v>
      </c>
      <c r="BW197" s="55">
        <v>89.308398023994357</v>
      </c>
      <c r="BX197" s="55">
        <v>89.308398023994357</v>
      </c>
      <c r="BY197" s="55">
        <v>85.673398023994352</v>
      </c>
      <c r="BZ197" s="55">
        <f t="shared" si="100"/>
        <v>85.673398023994352</v>
      </c>
      <c r="CA197" s="45">
        <v>2008</v>
      </c>
      <c r="CB197" s="55">
        <f t="shared" si="91"/>
        <v>33.989061889614383</v>
      </c>
      <c r="CC197" s="46" t="s">
        <v>178</v>
      </c>
      <c r="CD197" s="46" t="s">
        <v>179</v>
      </c>
      <c r="CE197" s="46" t="s">
        <v>179</v>
      </c>
      <c r="CF197" s="46">
        <v>1</v>
      </c>
      <c r="CG197" s="46" t="str">
        <f t="shared" si="92"/>
        <v>No</v>
      </c>
      <c r="CH197" s="46" t="s">
        <v>29</v>
      </c>
      <c r="CI197" s="56">
        <v>400</v>
      </c>
      <c r="CJ197" s="46" t="s">
        <v>180</v>
      </c>
      <c r="CK197" s="46" t="s">
        <v>23</v>
      </c>
      <c r="CL197" s="49" t="s">
        <v>35</v>
      </c>
      <c r="CM197" s="50">
        <f>(8/10)*100</f>
        <v>80</v>
      </c>
      <c r="CN197" s="50"/>
      <c r="CO197" s="50"/>
      <c r="CP197" s="46" t="s">
        <v>23</v>
      </c>
      <c r="CQ197" s="46" t="s">
        <v>24</v>
      </c>
      <c r="CR197" s="46">
        <v>7</v>
      </c>
      <c r="CS197" s="46" t="s">
        <v>854</v>
      </c>
      <c r="CT197" s="46" t="s">
        <v>53</v>
      </c>
      <c r="CU197" s="46" t="s">
        <v>29</v>
      </c>
      <c r="CV197" s="46" t="s">
        <v>23</v>
      </c>
      <c r="CW197" s="46" t="s">
        <v>23</v>
      </c>
      <c r="CX197" s="49" t="s">
        <v>191</v>
      </c>
      <c r="CY197" s="49" t="s">
        <v>182</v>
      </c>
      <c r="CZ197" s="49">
        <v>0</v>
      </c>
      <c r="DA197" s="49">
        <v>0</v>
      </c>
      <c r="DB197" s="64">
        <v>59730</v>
      </c>
      <c r="DC197" s="58">
        <v>27.560000000000002</v>
      </c>
      <c r="DD197" s="58">
        <v>33.739999999999995</v>
      </c>
      <c r="DE197" s="58">
        <v>21.08</v>
      </c>
      <c r="DF197" s="58">
        <v>14.35</v>
      </c>
      <c r="DG197" s="58">
        <v>3.2700000000000062</v>
      </c>
      <c r="DH197" s="58">
        <v>72.44</v>
      </c>
      <c r="DI197" s="45" t="s">
        <v>35</v>
      </c>
      <c r="DJ197" s="59" t="str">
        <f t="shared" si="93"/>
        <v>No single majority group</v>
      </c>
      <c r="DK197" s="65">
        <v>59730</v>
      </c>
      <c r="DL197" s="58">
        <v>27.560000000000002</v>
      </c>
      <c r="DM197" s="58">
        <v>33.739999999999995</v>
      </c>
      <c r="DN197" s="58">
        <v>21.08</v>
      </c>
      <c r="DO197" s="58">
        <v>72.44</v>
      </c>
      <c r="DP197" s="66">
        <v>52.65</v>
      </c>
      <c r="DQ197" s="67">
        <v>56152.03</v>
      </c>
      <c r="DR197" s="53">
        <v>17.899999999999999</v>
      </c>
      <c r="DS197" s="58">
        <v>72.099999999999994</v>
      </c>
      <c r="DT197" s="53">
        <v>50.5</v>
      </c>
      <c r="DU197" s="55">
        <v>2.86</v>
      </c>
      <c r="DV197" s="102">
        <v>34.1</v>
      </c>
      <c r="DW197" s="53">
        <v>78.5</v>
      </c>
      <c r="DX197" s="53">
        <v>105.4</v>
      </c>
      <c r="DY197" s="53">
        <v>56.604700000000001</v>
      </c>
      <c r="DZ197" s="63"/>
    </row>
    <row r="198" spans="1:130" s="5" customFormat="1" ht="14.25" hidden="1" customHeight="1">
      <c r="A198" s="45">
        <v>1164</v>
      </c>
      <c r="B198" s="46" t="s">
        <v>177</v>
      </c>
      <c r="C198" s="47">
        <v>2010</v>
      </c>
      <c r="D198" s="47" t="s">
        <v>21</v>
      </c>
      <c r="E198" s="46" t="s">
        <v>22</v>
      </c>
      <c r="F198" s="46">
        <v>4</v>
      </c>
      <c r="G198" s="48">
        <v>17000</v>
      </c>
      <c r="H198" s="46" t="s">
        <v>332</v>
      </c>
      <c r="I198" s="46">
        <v>3</v>
      </c>
      <c r="J198" s="46">
        <v>10</v>
      </c>
      <c r="K198" s="49" t="s">
        <v>192</v>
      </c>
      <c r="L198" s="49" t="s">
        <v>30</v>
      </c>
      <c r="M198" s="49" t="s">
        <v>29</v>
      </c>
      <c r="N198" s="49" t="s">
        <v>513</v>
      </c>
      <c r="O198" s="49"/>
      <c r="P198" s="49" t="s">
        <v>31</v>
      </c>
      <c r="Q198" s="49" t="s">
        <v>29</v>
      </c>
      <c r="R198" s="49">
        <v>5</v>
      </c>
      <c r="S198" s="50">
        <f t="shared" si="84"/>
        <v>50</v>
      </c>
      <c r="T198" s="49">
        <v>8</v>
      </c>
      <c r="U198" s="50">
        <f t="shared" si="85"/>
        <v>80</v>
      </c>
      <c r="V198" s="49" t="s">
        <v>876</v>
      </c>
      <c r="W198" s="49">
        <v>4</v>
      </c>
      <c r="X198" s="50">
        <f t="shared" si="86"/>
        <v>40</v>
      </c>
      <c r="Y198" s="51" t="str">
        <f t="shared" si="87"/>
        <v>No</v>
      </c>
      <c r="Z198" s="49" t="s">
        <v>29</v>
      </c>
      <c r="AA198" s="49" t="s">
        <v>29</v>
      </c>
      <c r="AB198" s="49" t="s">
        <v>29</v>
      </c>
      <c r="AC198" s="46" t="s">
        <v>26</v>
      </c>
      <c r="AD198" s="46" t="s">
        <v>27</v>
      </c>
      <c r="AE198" s="46" t="s">
        <v>73</v>
      </c>
      <c r="AF198" s="46" t="s">
        <v>29</v>
      </c>
      <c r="AG198" s="107">
        <v>76122</v>
      </c>
      <c r="AH198" s="70">
        <f t="shared" si="101"/>
        <v>60905</v>
      </c>
      <c r="AI198" s="70">
        <f t="shared" si="101"/>
        <v>60905</v>
      </c>
      <c r="AJ198" s="102">
        <v>14.28</v>
      </c>
      <c r="AK198" s="104">
        <v>57.12</v>
      </c>
      <c r="AL198" s="102">
        <v>14.28</v>
      </c>
      <c r="AM198" s="102"/>
      <c r="AN198" s="53">
        <f t="shared" si="88"/>
        <v>57.12</v>
      </c>
      <c r="AO198" s="53">
        <v>11.79</v>
      </c>
      <c r="AP198" s="102">
        <v>15217</v>
      </c>
      <c r="AQ198" s="102">
        <v>19.99027876303828</v>
      </c>
      <c r="AR198" s="102"/>
      <c r="AS198" s="102"/>
      <c r="AT198" s="102"/>
      <c r="AU198" s="102"/>
      <c r="AV198" s="102"/>
      <c r="AW198" s="102"/>
      <c r="AX198" s="102"/>
      <c r="AY198" s="102"/>
      <c r="AZ198" s="102"/>
      <c r="BA198" s="102"/>
      <c r="BB198" s="102"/>
      <c r="BC198" s="102"/>
      <c r="BD198" s="102"/>
      <c r="BE198" s="102"/>
      <c r="BF198" s="102"/>
      <c r="BG198" s="102"/>
      <c r="BH198" s="102"/>
      <c r="BI198" s="102"/>
      <c r="BJ198" s="102"/>
      <c r="BK198" s="102"/>
      <c r="BL198" s="102"/>
      <c r="BM198" s="102"/>
      <c r="BN198" s="102"/>
      <c r="BO198" s="102"/>
      <c r="BP198" s="102"/>
      <c r="BQ198" s="102"/>
      <c r="BR198" s="102"/>
      <c r="BS198" s="54" t="s">
        <v>23</v>
      </c>
      <c r="BT198" s="45" t="str">
        <f t="shared" si="102"/>
        <v>Yes</v>
      </c>
      <c r="BU198" s="45" t="str">
        <f t="shared" si="103"/>
        <v>Yes</v>
      </c>
      <c r="BV198" s="45" t="str">
        <f t="shared" si="104"/>
        <v>No</v>
      </c>
      <c r="BW198" s="55">
        <v>89.308398023994357</v>
      </c>
      <c r="BX198" s="55">
        <v>89.308398023994357</v>
      </c>
      <c r="BY198" s="55">
        <v>85.673398023994352</v>
      </c>
      <c r="BZ198" s="55">
        <f t="shared" si="100"/>
        <v>85.673398023994352</v>
      </c>
      <c r="CA198" s="45">
        <v>2008</v>
      </c>
      <c r="CB198" s="55">
        <f t="shared" si="91"/>
        <v>33.989061889614383</v>
      </c>
      <c r="CC198" s="46" t="s">
        <v>178</v>
      </c>
      <c r="CD198" s="46" t="s">
        <v>179</v>
      </c>
      <c r="CE198" s="46" t="s">
        <v>179</v>
      </c>
      <c r="CF198" s="46">
        <v>1</v>
      </c>
      <c r="CG198" s="46" t="str">
        <f t="shared" si="92"/>
        <v>No</v>
      </c>
      <c r="CH198" s="46" t="s">
        <v>29</v>
      </c>
      <c r="CI198" s="56">
        <v>400</v>
      </c>
      <c r="CJ198" s="46" t="s">
        <v>180</v>
      </c>
      <c r="CK198" s="46" t="s">
        <v>23</v>
      </c>
      <c r="CL198" s="49" t="s">
        <v>35</v>
      </c>
      <c r="CM198" s="50">
        <f>(8/10)*100</f>
        <v>80</v>
      </c>
      <c r="CN198" s="50"/>
      <c r="CO198" s="50"/>
      <c r="CP198" s="46" t="s">
        <v>23</v>
      </c>
      <c r="CQ198" s="46" t="s">
        <v>24</v>
      </c>
      <c r="CR198" s="46">
        <v>7</v>
      </c>
      <c r="CS198" s="46" t="s">
        <v>854</v>
      </c>
      <c r="CT198" s="46" t="s">
        <v>53</v>
      </c>
      <c r="CU198" s="46" t="s">
        <v>29</v>
      </c>
      <c r="CV198" s="46" t="s">
        <v>23</v>
      </c>
      <c r="CW198" s="46" t="s">
        <v>23</v>
      </c>
      <c r="CX198" s="49" t="s">
        <v>191</v>
      </c>
      <c r="CY198" s="49" t="s">
        <v>182</v>
      </c>
      <c r="CZ198" s="49">
        <v>0</v>
      </c>
      <c r="DA198" s="49">
        <v>0</v>
      </c>
      <c r="DB198" s="64">
        <v>59730</v>
      </c>
      <c r="DC198" s="58">
        <v>27.560000000000002</v>
      </c>
      <c r="DD198" s="58">
        <v>33.739999999999995</v>
      </c>
      <c r="DE198" s="58">
        <v>21.08</v>
      </c>
      <c r="DF198" s="58">
        <v>14.35</v>
      </c>
      <c r="DG198" s="58">
        <v>3.2700000000000062</v>
      </c>
      <c r="DH198" s="58">
        <v>72.44</v>
      </c>
      <c r="DI198" s="45" t="s">
        <v>35</v>
      </c>
      <c r="DJ198" s="59" t="str">
        <f t="shared" si="93"/>
        <v>No single majority group</v>
      </c>
      <c r="DK198" s="65">
        <v>59730</v>
      </c>
      <c r="DL198" s="58">
        <v>27.560000000000002</v>
      </c>
      <c r="DM198" s="58">
        <v>33.739999999999995</v>
      </c>
      <c r="DN198" s="58">
        <v>21.08</v>
      </c>
      <c r="DO198" s="58">
        <v>72.44</v>
      </c>
      <c r="DP198" s="66">
        <v>52.65</v>
      </c>
      <c r="DQ198" s="67">
        <v>56152.03</v>
      </c>
      <c r="DR198" s="53">
        <v>17.899999999999999</v>
      </c>
      <c r="DS198" s="58">
        <v>72.099999999999994</v>
      </c>
      <c r="DT198" s="53">
        <v>50.5</v>
      </c>
      <c r="DU198" s="55">
        <v>2.86</v>
      </c>
      <c r="DV198" s="102">
        <v>34.1</v>
      </c>
      <c r="DW198" s="53">
        <v>78.5</v>
      </c>
      <c r="DX198" s="53">
        <v>105.4</v>
      </c>
      <c r="DY198" s="53">
        <v>56.604700000000001</v>
      </c>
      <c r="DZ198" s="63"/>
    </row>
    <row r="199" spans="1:130" s="5" customFormat="1" ht="14.25" hidden="1" customHeight="1">
      <c r="A199" s="45">
        <v>1165</v>
      </c>
      <c r="B199" s="46" t="s">
        <v>177</v>
      </c>
      <c r="C199" s="47">
        <v>2010</v>
      </c>
      <c r="D199" s="47" t="s">
        <v>21</v>
      </c>
      <c r="E199" s="46" t="s">
        <v>22</v>
      </c>
      <c r="F199" s="46">
        <v>4</v>
      </c>
      <c r="G199" s="48">
        <v>17000</v>
      </c>
      <c r="H199" s="46" t="s">
        <v>332</v>
      </c>
      <c r="I199" s="46">
        <v>3</v>
      </c>
      <c r="J199" s="46">
        <v>10</v>
      </c>
      <c r="K199" s="49" t="s">
        <v>190</v>
      </c>
      <c r="L199" s="49" t="s">
        <v>30</v>
      </c>
      <c r="M199" s="49" t="s">
        <v>29</v>
      </c>
      <c r="N199" s="49" t="s">
        <v>618</v>
      </c>
      <c r="O199" s="49"/>
      <c r="P199" s="49" t="s">
        <v>201</v>
      </c>
      <c r="Q199" s="49" t="s">
        <v>35</v>
      </c>
      <c r="R199" s="49">
        <v>5</v>
      </c>
      <c r="S199" s="50">
        <f t="shared" si="84"/>
        <v>50</v>
      </c>
      <c r="T199" s="49">
        <v>8</v>
      </c>
      <c r="U199" s="50">
        <f t="shared" si="85"/>
        <v>80</v>
      </c>
      <c r="V199" s="49" t="s">
        <v>876</v>
      </c>
      <c r="W199" s="49">
        <v>4</v>
      </c>
      <c r="X199" s="50">
        <f t="shared" si="86"/>
        <v>40</v>
      </c>
      <c r="Y199" s="51" t="str">
        <f t="shared" si="87"/>
        <v>No</v>
      </c>
      <c r="Z199" s="49" t="s">
        <v>29</v>
      </c>
      <c r="AA199" s="49" t="s">
        <v>35</v>
      </c>
      <c r="AB199" s="45" t="s">
        <v>35</v>
      </c>
      <c r="AC199" s="46" t="s">
        <v>26</v>
      </c>
      <c r="AD199" s="46" t="s">
        <v>27</v>
      </c>
      <c r="AE199" s="46" t="s">
        <v>73</v>
      </c>
      <c r="AF199" s="46" t="s">
        <v>29</v>
      </c>
      <c r="AG199" s="107">
        <v>76122</v>
      </c>
      <c r="AH199" s="70">
        <f t="shared" si="101"/>
        <v>60905</v>
      </c>
      <c r="AI199" s="70">
        <f t="shared" si="101"/>
        <v>60905</v>
      </c>
      <c r="AJ199" s="102">
        <v>14.51</v>
      </c>
      <c r="AK199" s="104">
        <v>58.04</v>
      </c>
      <c r="AL199" s="102">
        <v>14.51</v>
      </c>
      <c r="AM199" s="102"/>
      <c r="AN199" s="53">
        <f t="shared" si="88"/>
        <v>58.04</v>
      </c>
      <c r="AO199" s="53">
        <v>11.79</v>
      </c>
      <c r="AP199" s="102">
        <v>15217</v>
      </c>
      <c r="AQ199" s="102">
        <v>19.99027876303828</v>
      </c>
      <c r="AR199" s="102"/>
      <c r="AS199" s="102"/>
      <c r="AT199" s="102"/>
      <c r="AU199" s="102"/>
      <c r="AV199" s="102"/>
      <c r="AW199" s="102"/>
      <c r="AX199" s="102"/>
      <c r="AY199" s="102"/>
      <c r="AZ199" s="102"/>
      <c r="BA199" s="102"/>
      <c r="BB199" s="102"/>
      <c r="BC199" s="102"/>
      <c r="BD199" s="102"/>
      <c r="BE199" s="102"/>
      <c r="BF199" s="102"/>
      <c r="BG199" s="102"/>
      <c r="BH199" s="102"/>
      <c r="BI199" s="102"/>
      <c r="BJ199" s="102"/>
      <c r="BK199" s="102"/>
      <c r="BL199" s="102"/>
      <c r="BM199" s="102"/>
      <c r="BN199" s="102"/>
      <c r="BO199" s="102"/>
      <c r="BP199" s="102"/>
      <c r="BQ199" s="102"/>
      <c r="BR199" s="102"/>
      <c r="BS199" s="54" t="s">
        <v>23</v>
      </c>
      <c r="BT199" s="45" t="str">
        <f t="shared" si="102"/>
        <v>Yes</v>
      </c>
      <c r="BU199" s="45" t="str">
        <f t="shared" si="103"/>
        <v>Yes</v>
      </c>
      <c r="BV199" s="45" t="str">
        <f t="shared" si="104"/>
        <v>No</v>
      </c>
      <c r="BW199" s="55">
        <v>89.308398023994357</v>
      </c>
      <c r="BX199" s="55">
        <v>89.308398023994357</v>
      </c>
      <c r="BY199" s="55">
        <v>85.673398023994352</v>
      </c>
      <c r="BZ199" s="55">
        <f t="shared" si="100"/>
        <v>85.673398023994352</v>
      </c>
      <c r="CA199" s="45">
        <v>2008</v>
      </c>
      <c r="CB199" s="55">
        <f t="shared" si="91"/>
        <v>33.989061889614383</v>
      </c>
      <c r="CC199" s="46" t="s">
        <v>178</v>
      </c>
      <c r="CD199" s="46" t="s">
        <v>179</v>
      </c>
      <c r="CE199" s="46" t="s">
        <v>179</v>
      </c>
      <c r="CF199" s="46">
        <v>1</v>
      </c>
      <c r="CG199" s="46" t="str">
        <f t="shared" si="92"/>
        <v>No</v>
      </c>
      <c r="CH199" s="46" t="s">
        <v>29</v>
      </c>
      <c r="CI199" s="56">
        <v>400</v>
      </c>
      <c r="CJ199" s="46" t="s">
        <v>180</v>
      </c>
      <c r="CK199" s="46" t="s">
        <v>23</v>
      </c>
      <c r="CL199" s="49" t="s">
        <v>35</v>
      </c>
      <c r="CM199" s="50">
        <f>(8/10)*100</f>
        <v>80</v>
      </c>
      <c r="CN199" s="50"/>
      <c r="CO199" s="50"/>
      <c r="CP199" s="46" t="s">
        <v>23</v>
      </c>
      <c r="CQ199" s="46" t="s">
        <v>24</v>
      </c>
      <c r="CR199" s="46">
        <v>7</v>
      </c>
      <c r="CS199" s="46" t="s">
        <v>854</v>
      </c>
      <c r="CT199" s="46" t="s">
        <v>53</v>
      </c>
      <c r="CU199" s="46" t="s">
        <v>29</v>
      </c>
      <c r="CV199" s="46" t="s">
        <v>23</v>
      </c>
      <c r="CW199" s="46" t="s">
        <v>23</v>
      </c>
      <c r="CX199" s="49" t="s">
        <v>191</v>
      </c>
      <c r="CY199" s="49" t="s">
        <v>182</v>
      </c>
      <c r="CZ199" s="49">
        <v>0</v>
      </c>
      <c r="DA199" s="49">
        <v>0</v>
      </c>
      <c r="DB199" s="64">
        <v>59730</v>
      </c>
      <c r="DC199" s="58">
        <v>27.560000000000002</v>
      </c>
      <c r="DD199" s="58">
        <v>33.739999999999995</v>
      </c>
      <c r="DE199" s="58">
        <v>21.08</v>
      </c>
      <c r="DF199" s="58">
        <v>14.35</v>
      </c>
      <c r="DG199" s="58">
        <v>3.2700000000000062</v>
      </c>
      <c r="DH199" s="58">
        <v>72.44</v>
      </c>
      <c r="DI199" s="45" t="s">
        <v>35</v>
      </c>
      <c r="DJ199" s="59" t="str">
        <f t="shared" si="93"/>
        <v>No single majority group</v>
      </c>
      <c r="DK199" s="65">
        <v>59730</v>
      </c>
      <c r="DL199" s="58">
        <v>27.560000000000002</v>
      </c>
      <c r="DM199" s="58">
        <v>33.739999999999995</v>
      </c>
      <c r="DN199" s="58">
        <v>21.08</v>
      </c>
      <c r="DO199" s="58">
        <v>72.44</v>
      </c>
      <c r="DP199" s="66">
        <v>52.65</v>
      </c>
      <c r="DQ199" s="67">
        <v>56152.03</v>
      </c>
      <c r="DR199" s="53">
        <v>17.899999999999999</v>
      </c>
      <c r="DS199" s="58">
        <v>72.099999999999994</v>
      </c>
      <c r="DT199" s="53">
        <v>50.5</v>
      </c>
      <c r="DU199" s="55">
        <v>2.86</v>
      </c>
      <c r="DV199" s="102">
        <v>34.1</v>
      </c>
      <c r="DW199" s="53">
        <v>78.5</v>
      </c>
      <c r="DX199" s="53">
        <v>105.4</v>
      </c>
      <c r="DY199" s="53">
        <v>56.604700000000001</v>
      </c>
      <c r="DZ199" s="63"/>
    </row>
    <row r="200" spans="1:130" s="5" customFormat="1" ht="14.25" hidden="1" customHeight="1">
      <c r="A200" s="45">
        <v>1166</v>
      </c>
      <c r="B200" s="46" t="s">
        <v>177</v>
      </c>
      <c r="C200" s="47">
        <v>2010</v>
      </c>
      <c r="D200" s="47" t="s">
        <v>38</v>
      </c>
      <c r="E200" s="46" t="s">
        <v>22</v>
      </c>
      <c r="F200" s="46">
        <v>4</v>
      </c>
      <c r="G200" s="48">
        <v>46500</v>
      </c>
      <c r="H200" s="46" t="s">
        <v>332</v>
      </c>
      <c r="I200" s="46">
        <v>1</v>
      </c>
      <c r="J200" s="46">
        <v>3</v>
      </c>
      <c r="K200" s="49" t="s">
        <v>183</v>
      </c>
      <c r="L200" s="49" t="s">
        <v>40</v>
      </c>
      <c r="M200" s="49" t="s">
        <v>35</v>
      </c>
      <c r="N200" s="49" t="s">
        <v>513</v>
      </c>
      <c r="O200" s="49"/>
      <c r="P200" s="49" t="s">
        <v>31</v>
      </c>
      <c r="Q200" s="49" t="s">
        <v>29</v>
      </c>
      <c r="R200" s="49">
        <v>1</v>
      </c>
      <c r="S200" s="50">
        <f t="shared" si="84"/>
        <v>33.333333333333329</v>
      </c>
      <c r="T200" s="49">
        <v>1</v>
      </c>
      <c r="U200" s="50">
        <f t="shared" si="85"/>
        <v>33.333333333333329</v>
      </c>
      <c r="V200" s="49" t="s">
        <v>858</v>
      </c>
      <c r="W200" s="49">
        <v>0</v>
      </c>
      <c r="X200" s="50">
        <f t="shared" si="86"/>
        <v>0</v>
      </c>
      <c r="Y200" s="51" t="str">
        <f t="shared" si="87"/>
        <v>No</v>
      </c>
      <c r="Z200" s="49" t="s">
        <v>29</v>
      </c>
      <c r="AA200" s="49" t="s">
        <v>29</v>
      </c>
      <c r="AB200" s="45" t="s">
        <v>35</v>
      </c>
      <c r="AC200" s="46" t="s">
        <v>26</v>
      </c>
      <c r="AD200" s="46" t="s">
        <v>27</v>
      </c>
      <c r="AE200" s="46" t="s">
        <v>73</v>
      </c>
      <c r="AF200" s="46" t="s">
        <v>29</v>
      </c>
      <c r="AG200" s="107">
        <v>25374</v>
      </c>
      <c r="AH200" s="70">
        <f>SUM(8439+
5338+
9841+
51)</f>
        <v>23669</v>
      </c>
      <c r="AI200" s="70">
        <f>SUM(8439+
5338+
9841+
51)</f>
        <v>23669</v>
      </c>
      <c r="AJ200" s="102">
        <v>41.58</v>
      </c>
      <c r="AK200" s="104">
        <v>83.16</v>
      </c>
      <c r="AL200" s="102">
        <v>41.58</v>
      </c>
      <c r="AM200" s="102"/>
      <c r="AN200" s="53">
        <f t="shared" si="88"/>
        <v>83.16</v>
      </c>
      <c r="AO200" s="53">
        <v>35.65</v>
      </c>
      <c r="AP200" s="102">
        <v>1705</v>
      </c>
      <c r="AQ200" s="102">
        <v>6.7194766296208712</v>
      </c>
      <c r="AR200" s="102"/>
      <c r="AS200" s="102"/>
      <c r="AT200" s="102"/>
      <c r="AU200" s="102"/>
      <c r="AV200" s="102"/>
      <c r="AW200" s="102"/>
      <c r="AX200" s="102"/>
      <c r="AY200" s="102"/>
      <c r="AZ200" s="102"/>
      <c r="BA200" s="102"/>
      <c r="BB200" s="102"/>
      <c r="BC200" s="102"/>
      <c r="BD200" s="102"/>
      <c r="BE200" s="102"/>
      <c r="BF200" s="102"/>
      <c r="BG200" s="102"/>
      <c r="BH200" s="102"/>
      <c r="BI200" s="102"/>
      <c r="BJ200" s="102"/>
      <c r="BK200" s="102"/>
      <c r="BL200" s="102"/>
      <c r="BM200" s="102"/>
      <c r="BN200" s="102"/>
      <c r="BO200" s="102"/>
      <c r="BP200" s="102"/>
      <c r="BQ200" s="102"/>
      <c r="BR200" s="102"/>
      <c r="BS200" s="54" t="s">
        <v>23</v>
      </c>
      <c r="BT200" s="45" t="str">
        <f t="shared" si="102"/>
        <v>Yes</v>
      </c>
      <c r="BU200" s="45" t="str">
        <f t="shared" si="103"/>
        <v>Yes</v>
      </c>
      <c r="BV200" s="45" t="str">
        <f t="shared" si="104"/>
        <v>No</v>
      </c>
      <c r="BW200" s="55">
        <v>89.308398023994357</v>
      </c>
      <c r="BX200" s="55">
        <v>89.308398023994357</v>
      </c>
      <c r="BY200" s="55">
        <v>85.673398023994352</v>
      </c>
      <c r="BZ200" s="55">
        <f t="shared" si="100"/>
        <v>85.673398023994352</v>
      </c>
      <c r="CA200" s="45">
        <v>2008</v>
      </c>
      <c r="CB200" s="55">
        <f t="shared" si="91"/>
        <v>39.626653273062111</v>
      </c>
      <c r="CC200" s="46" t="s">
        <v>39</v>
      </c>
      <c r="CD200" s="46" t="s">
        <v>179</v>
      </c>
      <c r="CE200" s="46" t="s">
        <v>179</v>
      </c>
      <c r="CF200" s="46">
        <v>1</v>
      </c>
      <c r="CG200" s="46" t="str">
        <f t="shared" si="92"/>
        <v>No</v>
      </c>
      <c r="CH200" s="46" t="s">
        <v>35</v>
      </c>
      <c r="CI200" s="56">
        <v>930</v>
      </c>
      <c r="CJ200" s="46" t="s">
        <v>180</v>
      </c>
      <c r="CK200" s="46" t="s">
        <v>23</v>
      </c>
      <c r="CL200" s="49" t="s">
        <v>35</v>
      </c>
      <c r="CM200" s="50">
        <f>(3/3)*100</f>
        <v>100</v>
      </c>
      <c r="CN200" s="50"/>
      <c r="CO200" s="50"/>
      <c r="CP200" s="46" t="s">
        <v>23</v>
      </c>
      <c r="CQ200" s="46" t="s">
        <v>23</v>
      </c>
      <c r="CR200" s="46">
        <v>7</v>
      </c>
      <c r="CS200" s="46" t="s">
        <v>854</v>
      </c>
      <c r="CT200" s="46" t="s">
        <v>53</v>
      </c>
      <c r="CU200" s="46" t="s">
        <v>29</v>
      </c>
      <c r="CV200" s="46" t="s">
        <v>23</v>
      </c>
      <c r="CW200" s="46" t="s">
        <v>23</v>
      </c>
      <c r="CX200" s="49" t="s">
        <v>191</v>
      </c>
      <c r="CY200" s="49" t="s">
        <v>182</v>
      </c>
      <c r="CZ200" s="49">
        <v>0</v>
      </c>
      <c r="DA200" s="49">
        <v>0</v>
      </c>
      <c r="DB200" s="64">
        <v>59730</v>
      </c>
      <c r="DC200" s="58">
        <v>27.560000000000002</v>
      </c>
      <c r="DD200" s="58">
        <v>33.739999999999995</v>
      </c>
      <c r="DE200" s="58">
        <v>21.08</v>
      </c>
      <c r="DF200" s="58">
        <v>14.35</v>
      </c>
      <c r="DG200" s="58">
        <v>3.2700000000000062</v>
      </c>
      <c r="DH200" s="58">
        <v>72.44</v>
      </c>
      <c r="DI200" s="45" t="s">
        <v>35</v>
      </c>
      <c r="DJ200" s="59" t="str">
        <f t="shared" si="93"/>
        <v>No single majority group</v>
      </c>
      <c r="DK200" s="65">
        <v>59730</v>
      </c>
      <c r="DL200" s="58">
        <v>27.560000000000002</v>
      </c>
      <c r="DM200" s="58">
        <v>33.739999999999995</v>
      </c>
      <c r="DN200" s="58">
        <v>21.08</v>
      </c>
      <c r="DO200" s="58">
        <v>72.44</v>
      </c>
      <c r="DP200" s="66">
        <v>52.65</v>
      </c>
      <c r="DQ200" s="67">
        <v>56152.03</v>
      </c>
      <c r="DR200" s="53">
        <v>17.899999999999999</v>
      </c>
      <c r="DS200" s="58">
        <v>72.099999999999994</v>
      </c>
      <c r="DT200" s="53">
        <v>50.5</v>
      </c>
      <c r="DU200" s="55">
        <v>2.86</v>
      </c>
      <c r="DV200" s="102">
        <v>34.1</v>
      </c>
      <c r="DW200" s="53">
        <v>78.5</v>
      </c>
      <c r="DX200" s="53">
        <v>105.4</v>
      </c>
      <c r="DY200" s="53">
        <v>56.604700000000001</v>
      </c>
      <c r="DZ200" s="63"/>
    </row>
    <row r="201" spans="1:130" s="5" customFormat="1" ht="14.25" hidden="1" customHeight="1">
      <c r="A201" s="45">
        <v>1160</v>
      </c>
      <c r="B201" s="46" t="s">
        <v>177</v>
      </c>
      <c r="C201" s="47">
        <v>2012</v>
      </c>
      <c r="D201" s="47" t="s">
        <v>21</v>
      </c>
      <c r="E201" s="46" t="s">
        <v>22</v>
      </c>
      <c r="F201" s="46">
        <v>4</v>
      </c>
      <c r="G201" s="48">
        <v>17000</v>
      </c>
      <c r="H201" s="46" t="s">
        <v>332</v>
      </c>
      <c r="I201" s="46">
        <v>3</v>
      </c>
      <c r="J201" s="46">
        <v>11</v>
      </c>
      <c r="K201" s="49" t="s">
        <v>188</v>
      </c>
      <c r="L201" s="49" t="s">
        <v>30</v>
      </c>
      <c r="M201" s="49" t="s">
        <v>29</v>
      </c>
      <c r="N201" s="49" t="s">
        <v>512</v>
      </c>
      <c r="O201" s="49"/>
      <c r="P201" s="49" t="s">
        <v>201</v>
      </c>
      <c r="Q201" s="49" t="s">
        <v>35</v>
      </c>
      <c r="R201" s="74">
        <v>3</v>
      </c>
      <c r="S201" s="50">
        <f t="shared" si="84"/>
        <v>27.27272727272727</v>
      </c>
      <c r="T201" s="74">
        <v>7</v>
      </c>
      <c r="U201" s="50">
        <f t="shared" si="85"/>
        <v>63.636363636363633</v>
      </c>
      <c r="V201" s="49" t="s">
        <v>877</v>
      </c>
      <c r="W201" s="74">
        <v>1</v>
      </c>
      <c r="X201" s="50">
        <f t="shared" si="86"/>
        <v>9.0909090909090917</v>
      </c>
      <c r="Y201" s="51" t="str">
        <f t="shared" si="87"/>
        <v>No</v>
      </c>
      <c r="Z201" s="49" t="s">
        <v>35</v>
      </c>
      <c r="AA201" s="49" t="s">
        <v>23</v>
      </c>
      <c r="AB201" s="49" t="s">
        <v>23</v>
      </c>
      <c r="AC201" s="46" t="s">
        <v>26</v>
      </c>
      <c r="AD201" s="46" t="s">
        <v>27</v>
      </c>
      <c r="AE201" s="46" t="s">
        <v>89</v>
      </c>
      <c r="AF201" s="46" t="s">
        <v>29</v>
      </c>
      <c r="AG201" s="107">
        <v>102216</v>
      </c>
      <c r="AH201" s="70">
        <f t="shared" ref="AH201:AI203" si="105">SUM(1545+
2134+
5274+
1062+
10956+
4104+
5698+
8610+
13592+
11575+
11474+
139)</f>
        <v>76163</v>
      </c>
      <c r="AI201" s="70">
        <f t="shared" si="105"/>
        <v>76163</v>
      </c>
      <c r="AJ201" s="102">
        <v>15.07</v>
      </c>
      <c r="AK201" s="104">
        <v>60.28</v>
      </c>
      <c r="AL201" s="102">
        <v>15.07</v>
      </c>
      <c r="AM201" s="102"/>
      <c r="AN201" s="53">
        <f t="shared" si="88"/>
        <v>60.28</v>
      </c>
      <c r="AO201" s="53">
        <v>14.38</v>
      </c>
      <c r="AP201" s="102">
        <v>26053</v>
      </c>
      <c r="AQ201" s="102">
        <v>25.488181889332395</v>
      </c>
      <c r="AR201" s="102"/>
      <c r="AS201" s="102"/>
      <c r="AT201" s="102"/>
      <c r="AU201" s="102"/>
      <c r="AV201" s="102"/>
      <c r="AW201" s="102"/>
      <c r="AX201" s="102"/>
      <c r="AY201" s="102"/>
      <c r="AZ201" s="102"/>
      <c r="BA201" s="102"/>
      <c r="BB201" s="102"/>
      <c r="BC201" s="102"/>
      <c r="BD201" s="102"/>
      <c r="BE201" s="102"/>
      <c r="BF201" s="102"/>
      <c r="BG201" s="102"/>
      <c r="BH201" s="102"/>
      <c r="BI201" s="102"/>
      <c r="BJ201" s="102"/>
      <c r="BK201" s="102"/>
      <c r="BL201" s="102"/>
      <c r="BM201" s="102"/>
      <c r="BN201" s="102"/>
      <c r="BO201" s="102"/>
      <c r="BP201" s="102"/>
      <c r="BQ201" s="102"/>
      <c r="BR201" s="102"/>
      <c r="BS201" s="54" t="s">
        <v>23</v>
      </c>
      <c r="BT201" s="45" t="str">
        <f t="shared" si="102"/>
        <v>Yes</v>
      </c>
      <c r="BU201" s="45" t="str">
        <f t="shared" si="103"/>
        <v>Yes</v>
      </c>
      <c r="BV201" s="45" t="str">
        <f t="shared" si="104"/>
        <v>Yes</v>
      </c>
      <c r="BW201" s="55">
        <v>90.815799860339439</v>
      </c>
      <c r="BX201" s="55">
        <v>90.815799860339439</v>
      </c>
      <c r="BY201" s="55">
        <v>88.885799860339446</v>
      </c>
      <c r="BZ201" s="55">
        <f t="shared" ref="BZ201:BZ208" si="106">BX201-(0.0386*100/2)</f>
        <v>88.885799860339432</v>
      </c>
      <c r="CA201" s="45">
        <v>2012</v>
      </c>
      <c r="CB201" s="55">
        <f t="shared" si="91"/>
        <v>41.735437558222372</v>
      </c>
      <c r="CC201" s="46" t="s">
        <v>178</v>
      </c>
      <c r="CD201" s="46" t="s">
        <v>179</v>
      </c>
      <c r="CE201" s="46" t="s">
        <v>179</v>
      </c>
      <c r="CF201" s="46">
        <v>1</v>
      </c>
      <c r="CG201" s="46" t="str">
        <f t="shared" si="92"/>
        <v>No</v>
      </c>
      <c r="CH201" s="46" t="s">
        <v>29</v>
      </c>
      <c r="CI201" s="56">
        <v>340</v>
      </c>
      <c r="CJ201" s="46" t="s">
        <v>180</v>
      </c>
      <c r="CK201" s="46" t="s">
        <v>23</v>
      </c>
      <c r="CL201" s="49" t="s">
        <v>35</v>
      </c>
      <c r="CM201" s="50">
        <f>(7/11)*100</f>
        <v>63.636363636363633</v>
      </c>
      <c r="CN201" s="50"/>
      <c r="CO201" s="50"/>
      <c r="CP201" s="46" t="s">
        <v>23</v>
      </c>
      <c r="CQ201" s="46" t="s">
        <v>24</v>
      </c>
      <c r="CR201" s="46">
        <v>7</v>
      </c>
      <c r="CS201" s="46" t="s">
        <v>854</v>
      </c>
      <c r="CT201" s="46" t="s">
        <v>53</v>
      </c>
      <c r="CU201" s="46" t="s">
        <v>29</v>
      </c>
      <c r="CV201" s="46" t="s">
        <v>23</v>
      </c>
      <c r="CW201" s="46" t="s">
        <v>23</v>
      </c>
      <c r="CX201" s="49" t="s">
        <v>191</v>
      </c>
      <c r="CY201" s="49" t="s">
        <v>182</v>
      </c>
      <c r="CZ201" s="49">
        <v>0</v>
      </c>
      <c r="DA201" s="49">
        <v>0</v>
      </c>
      <c r="DB201" s="57">
        <v>60830</v>
      </c>
      <c r="DC201" s="58">
        <v>25.900049317770836</v>
      </c>
      <c r="DD201" s="58">
        <v>31.226368568140721</v>
      </c>
      <c r="DE201" s="58">
        <v>22.077922077922079</v>
      </c>
      <c r="DF201" s="58">
        <v>15.535097813578828</v>
      </c>
      <c r="DG201" s="58">
        <v>5.2605622225875504</v>
      </c>
      <c r="DH201" s="58">
        <v>74.099950682229164</v>
      </c>
      <c r="DI201" s="45" t="s">
        <v>35</v>
      </c>
      <c r="DJ201" s="59" t="str">
        <f t="shared" si="93"/>
        <v>No single majority group</v>
      </c>
      <c r="DK201" s="60">
        <v>60830</v>
      </c>
      <c r="DL201" s="58">
        <v>25.900049317770836</v>
      </c>
      <c r="DM201" s="58">
        <v>31.226368568140721</v>
      </c>
      <c r="DN201" s="58">
        <v>22.077922077922079</v>
      </c>
      <c r="DO201" s="58">
        <v>74.099950682229164</v>
      </c>
      <c r="DP201" s="66">
        <v>53.1</v>
      </c>
      <c r="DQ201" s="67">
        <v>54857</v>
      </c>
      <c r="DR201" s="53">
        <v>17.100000000000001</v>
      </c>
      <c r="DS201" s="58">
        <v>72.2</v>
      </c>
      <c r="DT201" s="53">
        <v>49.4</v>
      </c>
      <c r="DU201" s="55">
        <v>2.89</v>
      </c>
      <c r="DV201" s="102">
        <v>35</v>
      </c>
      <c r="DW201" s="53">
        <v>76.900000000000006</v>
      </c>
      <c r="DX201" s="53">
        <v>97.54</v>
      </c>
      <c r="DY201" s="53">
        <v>58.201500000000003</v>
      </c>
      <c r="DZ201" s="63"/>
    </row>
    <row r="202" spans="1:130" s="5" customFormat="1" ht="14.25" hidden="1" customHeight="1">
      <c r="A202" s="45">
        <v>1161</v>
      </c>
      <c r="B202" s="46" t="s">
        <v>177</v>
      </c>
      <c r="C202" s="47">
        <v>2012</v>
      </c>
      <c r="D202" s="47" t="s">
        <v>21</v>
      </c>
      <c r="E202" s="46" t="s">
        <v>22</v>
      </c>
      <c r="F202" s="46">
        <v>4</v>
      </c>
      <c r="G202" s="48">
        <v>17000</v>
      </c>
      <c r="H202" s="46" t="s">
        <v>332</v>
      </c>
      <c r="I202" s="46">
        <v>3</v>
      </c>
      <c r="J202" s="46">
        <v>11</v>
      </c>
      <c r="K202" s="49" t="s">
        <v>187</v>
      </c>
      <c r="L202" s="49" t="s">
        <v>30</v>
      </c>
      <c r="M202" s="49" t="s">
        <v>29</v>
      </c>
      <c r="N202" s="49" t="s">
        <v>513</v>
      </c>
      <c r="O202" s="49"/>
      <c r="P202" s="49" t="s">
        <v>31</v>
      </c>
      <c r="Q202" s="49" t="s">
        <v>29</v>
      </c>
      <c r="R202" s="49">
        <v>3</v>
      </c>
      <c r="S202" s="50">
        <f t="shared" si="84"/>
        <v>27.27272727272727</v>
      </c>
      <c r="T202" s="49">
        <v>7</v>
      </c>
      <c r="U202" s="50">
        <f t="shared" si="85"/>
        <v>63.636363636363633</v>
      </c>
      <c r="V202" s="49" t="s">
        <v>877</v>
      </c>
      <c r="W202" s="49">
        <v>1</v>
      </c>
      <c r="X202" s="50">
        <f t="shared" si="86"/>
        <v>9.0909090909090917</v>
      </c>
      <c r="Y202" s="51" t="str">
        <f t="shared" si="87"/>
        <v>No</v>
      </c>
      <c r="Z202" s="49" t="s">
        <v>29</v>
      </c>
      <c r="AA202" s="49" t="s">
        <v>29</v>
      </c>
      <c r="AB202" s="49" t="s">
        <v>29</v>
      </c>
      <c r="AC202" s="46" t="s">
        <v>26</v>
      </c>
      <c r="AD202" s="46" t="s">
        <v>27</v>
      </c>
      <c r="AE202" s="46" t="s">
        <v>89</v>
      </c>
      <c r="AF202" s="46" t="s">
        <v>29</v>
      </c>
      <c r="AG202" s="107">
        <v>102216</v>
      </c>
      <c r="AH202" s="70">
        <f t="shared" si="105"/>
        <v>76163</v>
      </c>
      <c r="AI202" s="70">
        <f t="shared" si="105"/>
        <v>76163</v>
      </c>
      <c r="AJ202" s="102">
        <v>15.2</v>
      </c>
      <c r="AK202" s="104">
        <v>60.8</v>
      </c>
      <c r="AL202" s="102">
        <v>15.2</v>
      </c>
      <c r="AM202" s="102"/>
      <c r="AN202" s="53">
        <f t="shared" si="88"/>
        <v>60.8</v>
      </c>
      <c r="AO202" s="53">
        <v>14.38</v>
      </c>
      <c r="AP202" s="102">
        <v>26053</v>
      </c>
      <c r="AQ202" s="102">
        <v>25.488181889332395</v>
      </c>
      <c r="AR202" s="102"/>
      <c r="AS202" s="102"/>
      <c r="AT202" s="102"/>
      <c r="AU202" s="102"/>
      <c r="AV202" s="102"/>
      <c r="AW202" s="102"/>
      <c r="AX202" s="102"/>
      <c r="AY202" s="102"/>
      <c r="AZ202" s="102"/>
      <c r="BA202" s="102"/>
      <c r="BB202" s="102"/>
      <c r="BC202" s="102"/>
      <c r="BD202" s="102"/>
      <c r="BE202" s="102"/>
      <c r="BF202" s="102"/>
      <c r="BG202" s="102"/>
      <c r="BH202" s="102"/>
      <c r="BI202" s="102"/>
      <c r="BJ202" s="102"/>
      <c r="BK202" s="102"/>
      <c r="BL202" s="102"/>
      <c r="BM202" s="102"/>
      <c r="BN202" s="102"/>
      <c r="BO202" s="102"/>
      <c r="BP202" s="102"/>
      <c r="BQ202" s="102"/>
      <c r="BR202" s="102"/>
      <c r="BS202" s="54" t="s">
        <v>23</v>
      </c>
      <c r="BT202" s="45" t="str">
        <f t="shared" si="102"/>
        <v>Yes</v>
      </c>
      <c r="BU202" s="45" t="str">
        <f t="shared" si="103"/>
        <v>Yes</v>
      </c>
      <c r="BV202" s="45" t="str">
        <f t="shared" si="104"/>
        <v>Yes</v>
      </c>
      <c r="BW202" s="55">
        <v>90.815799860339439</v>
      </c>
      <c r="BX202" s="55">
        <v>90.815799860339439</v>
      </c>
      <c r="BY202" s="55">
        <v>88.885799860339446</v>
      </c>
      <c r="BZ202" s="55">
        <f t="shared" si="106"/>
        <v>88.885799860339432</v>
      </c>
      <c r="CA202" s="45">
        <v>2012</v>
      </c>
      <c r="CB202" s="55">
        <f t="shared" si="91"/>
        <v>41.735437558222372</v>
      </c>
      <c r="CC202" s="46" t="s">
        <v>178</v>
      </c>
      <c r="CD202" s="46" t="s">
        <v>179</v>
      </c>
      <c r="CE202" s="46" t="s">
        <v>179</v>
      </c>
      <c r="CF202" s="46">
        <v>1</v>
      </c>
      <c r="CG202" s="46" t="str">
        <f t="shared" si="92"/>
        <v>No</v>
      </c>
      <c r="CH202" s="46" t="s">
        <v>29</v>
      </c>
      <c r="CI202" s="56">
        <v>340</v>
      </c>
      <c r="CJ202" s="46" t="s">
        <v>180</v>
      </c>
      <c r="CK202" s="46" t="s">
        <v>23</v>
      </c>
      <c r="CL202" s="49" t="s">
        <v>35</v>
      </c>
      <c r="CM202" s="50">
        <f>(7/11)*100</f>
        <v>63.636363636363633</v>
      </c>
      <c r="CN202" s="50"/>
      <c r="CO202" s="50"/>
      <c r="CP202" s="46" t="s">
        <v>23</v>
      </c>
      <c r="CQ202" s="46" t="s">
        <v>24</v>
      </c>
      <c r="CR202" s="46">
        <v>7</v>
      </c>
      <c r="CS202" s="46" t="s">
        <v>854</v>
      </c>
      <c r="CT202" s="46" t="s">
        <v>53</v>
      </c>
      <c r="CU202" s="46" t="s">
        <v>29</v>
      </c>
      <c r="CV202" s="46" t="s">
        <v>23</v>
      </c>
      <c r="CW202" s="46" t="s">
        <v>23</v>
      </c>
      <c r="CX202" s="49" t="s">
        <v>191</v>
      </c>
      <c r="CY202" s="49" t="s">
        <v>182</v>
      </c>
      <c r="CZ202" s="49">
        <v>0</v>
      </c>
      <c r="DA202" s="49">
        <v>0</v>
      </c>
      <c r="DB202" s="57">
        <v>60830</v>
      </c>
      <c r="DC202" s="58">
        <v>25.900049317770836</v>
      </c>
      <c r="DD202" s="58">
        <v>31.226368568140721</v>
      </c>
      <c r="DE202" s="58">
        <v>22.077922077922079</v>
      </c>
      <c r="DF202" s="58">
        <v>15.535097813578828</v>
      </c>
      <c r="DG202" s="58">
        <v>5.2605622225875504</v>
      </c>
      <c r="DH202" s="58">
        <v>74.099950682229164</v>
      </c>
      <c r="DI202" s="45" t="s">
        <v>35</v>
      </c>
      <c r="DJ202" s="59" t="str">
        <f t="shared" si="93"/>
        <v>No single majority group</v>
      </c>
      <c r="DK202" s="60">
        <v>60830</v>
      </c>
      <c r="DL202" s="58">
        <v>25.900049317770836</v>
      </c>
      <c r="DM202" s="58">
        <v>31.226368568140721</v>
      </c>
      <c r="DN202" s="58">
        <v>22.077922077922079</v>
      </c>
      <c r="DO202" s="58">
        <v>74.099950682229164</v>
      </c>
      <c r="DP202" s="66">
        <v>53.1</v>
      </c>
      <c r="DQ202" s="67">
        <v>54857</v>
      </c>
      <c r="DR202" s="53">
        <v>17.100000000000001</v>
      </c>
      <c r="DS202" s="58">
        <v>72.2</v>
      </c>
      <c r="DT202" s="53">
        <v>49.4</v>
      </c>
      <c r="DU202" s="55">
        <v>2.89</v>
      </c>
      <c r="DV202" s="102">
        <v>35</v>
      </c>
      <c r="DW202" s="53">
        <v>76.900000000000006</v>
      </c>
      <c r="DX202" s="53">
        <v>97.54</v>
      </c>
      <c r="DY202" s="53">
        <v>58.201500000000003</v>
      </c>
      <c r="DZ202" s="63"/>
    </row>
    <row r="203" spans="1:130" s="5" customFormat="1" ht="14.25" hidden="1" customHeight="1">
      <c r="A203" s="45">
        <v>1162</v>
      </c>
      <c r="B203" s="46" t="s">
        <v>177</v>
      </c>
      <c r="C203" s="47">
        <v>2012</v>
      </c>
      <c r="D203" s="47" t="s">
        <v>21</v>
      </c>
      <c r="E203" s="46" t="s">
        <v>22</v>
      </c>
      <c r="F203" s="46">
        <v>4</v>
      </c>
      <c r="G203" s="48">
        <v>17000</v>
      </c>
      <c r="H203" s="46" t="s">
        <v>332</v>
      </c>
      <c r="I203" s="46">
        <v>3</v>
      </c>
      <c r="J203" s="46">
        <v>11</v>
      </c>
      <c r="K203" s="49" t="s">
        <v>189</v>
      </c>
      <c r="L203" s="49" t="s">
        <v>30</v>
      </c>
      <c r="M203" s="49" t="s">
        <v>29</v>
      </c>
      <c r="N203" s="49" t="s">
        <v>513</v>
      </c>
      <c r="O203" s="49"/>
      <c r="P203" s="49" t="s">
        <v>201</v>
      </c>
      <c r="Q203" s="49" t="s">
        <v>35</v>
      </c>
      <c r="R203" s="49">
        <v>3</v>
      </c>
      <c r="S203" s="50">
        <f t="shared" si="84"/>
        <v>27.27272727272727</v>
      </c>
      <c r="T203" s="49">
        <v>7</v>
      </c>
      <c r="U203" s="50">
        <f t="shared" si="85"/>
        <v>63.636363636363633</v>
      </c>
      <c r="V203" s="49" t="s">
        <v>877</v>
      </c>
      <c r="W203" s="49">
        <v>1</v>
      </c>
      <c r="X203" s="50">
        <f t="shared" si="86"/>
        <v>9.0909090909090917</v>
      </c>
      <c r="Y203" s="51" t="str">
        <f t="shared" si="87"/>
        <v>No</v>
      </c>
      <c r="Z203" s="49" t="s">
        <v>29</v>
      </c>
      <c r="AA203" s="49" t="s">
        <v>35</v>
      </c>
      <c r="AB203" s="49" t="s">
        <v>29</v>
      </c>
      <c r="AC203" s="46" t="s">
        <v>26</v>
      </c>
      <c r="AD203" s="46" t="s">
        <v>27</v>
      </c>
      <c r="AE203" s="46" t="s">
        <v>89</v>
      </c>
      <c r="AF203" s="46" t="s">
        <v>29</v>
      </c>
      <c r="AG203" s="107">
        <v>102216</v>
      </c>
      <c r="AH203" s="70">
        <f t="shared" si="105"/>
        <v>76163</v>
      </c>
      <c r="AI203" s="70">
        <f t="shared" si="105"/>
        <v>76163</v>
      </c>
      <c r="AJ203" s="102">
        <v>17.850000000000001</v>
      </c>
      <c r="AK203" s="104">
        <v>71.400000000000006</v>
      </c>
      <c r="AL203" s="102">
        <v>17.850000000000001</v>
      </c>
      <c r="AM203" s="102"/>
      <c r="AN203" s="53">
        <f t="shared" si="88"/>
        <v>71.400000000000006</v>
      </c>
      <c r="AO203" s="53">
        <v>14.38</v>
      </c>
      <c r="AP203" s="102">
        <v>26053</v>
      </c>
      <c r="AQ203" s="102">
        <v>25.488181889332395</v>
      </c>
      <c r="AR203" s="102"/>
      <c r="AS203" s="102"/>
      <c r="AT203" s="102"/>
      <c r="AU203" s="102"/>
      <c r="AV203" s="102"/>
      <c r="AW203" s="102"/>
      <c r="AX203" s="102"/>
      <c r="AY203" s="102"/>
      <c r="AZ203" s="102"/>
      <c r="BA203" s="102"/>
      <c r="BB203" s="102"/>
      <c r="BC203" s="102"/>
      <c r="BD203" s="102"/>
      <c r="BE203" s="102"/>
      <c r="BF203" s="102"/>
      <c r="BG203" s="102"/>
      <c r="BH203" s="102"/>
      <c r="BI203" s="102"/>
      <c r="BJ203" s="102"/>
      <c r="BK203" s="102"/>
      <c r="BL203" s="102"/>
      <c r="BM203" s="102"/>
      <c r="BN203" s="102"/>
      <c r="BO203" s="102"/>
      <c r="BP203" s="102"/>
      <c r="BQ203" s="102"/>
      <c r="BR203" s="102"/>
      <c r="BS203" s="54" t="s">
        <v>23</v>
      </c>
      <c r="BT203" s="45" t="str">
        <f t="shared" si="102"/>
        <v>Yes</v>
      </c>
      <c r="BU203" s="45" t="str">
        <f t="shared" si="103"/>
        <v>Yes</v>
      </c>
      <c r="BV203" s="45" t="str">
        <f t="shared" si="104"/>
        <v>No</v>
      </c>
      <c r="BW203" s="55">
        <v>90.815799860339439</v>
      </c>
      <c r="BX203" s="55">
        <v>90.815799860339439</v>
      </c>
      <c r="BY203" s="55">
        <v>88.885799860339446</v>
      </c>
      <c r="BZ203" s="55">
        <f t="shared" si="106"/>
        <v>88.885799860339432</v>
      </c>
      <c r="CA203" s="45">
        <v>2012</v>
      </c>
      <c r="CB203" s="55">
        <f t="shared" si="91"/>
        <v>41.735437558222372</v>
      </c>
      <c r="CC203" s="46" t="s">
        <v>178</v>
      </c>
      <c r="CD203" s="46" t="s">
        <v>179</v>
      </c>
      <c r="CE203" s="46" t="s">
        <v>179</v>
      </c>
      <c r="CF203" s="46">
        <v>1</v>
      </c>
      <c r="CG203" s="46" t="str">
        <f t="shared" si="92"/>
        <v>No</v>
      </c>
      <c r="CH203" s="46" t="s">
        <v>29</v>
      </c>
      <c r="CI203" s="56">
        <v>340</v>
      </c>
      <c r="CJ203" s="46" t="s">
        <v>180</v>
      </c>
      <c r="CK203" s="46" t="s">
        <v>23</v>
      </c>
      <c r="CL203" s="49" t="s">
        <v>35</v>
      </c>
      <c r="CM203" s="50">
        <f>(7/11)*100</f>
        <v>63.636363636363633</v>
      </c>
      <c r="CN203" s="50"/>
      <c r="CO203" s="50"/>
      <c r="CP203" s="46" t="s">
        <v>23</v>
      </c>
      <c r="CQ203" s="46" t="s">
        <v>24</v>
      </c>
      <c r="CR203" s="46">
        <v>7</v>
      </c>
      <c r="CS203" s="46" t="s">
        <v>854</v>
      </c>
      <c r="CT203" s="46" t="s">
        <v>53</v>
      </c>
      <c r="CU203" s="46" t="s">
        <v>29</v>
      </c>
      <c r="CV203" s="46" t="s">
        <v>23</v>
      </c>
      <c r="CW203" s="46" t="s">
        <v>23</v>
      </c>
      <c r="CX203" s="49" t="s">
        <v>191</v>
      </c>
      <c r="CY203" s="49" t="s">
        <v>182</v>
      </c>
      <c r="CZ203" s="49">
        <v>0</v>
      </c>
      <c r="DA203" s="49">
        <v>0</v>
      </c>
      <c r="DB203" s="57">
        <v>60830</v>
      </c>
      <c r="DC203" s="58">
        <v>25.900049317770836</v>
      </c>
      <c r="DD203" s="58">
        <v>31.226368568140721</v>
      </c>
      <c r="DE203" s="58">
        <v>22.077922077922079</v>
      </c>
      <c r="DF203" s="58">
        <v>15.535097813578828</v>
      </c>
      <c r="DG203" s="58">
        <v>5.2605622225875504</v>
      </c>
      <c r="DH203" s="58">
        <v>74.099950682229164</v>
      </c>
      <c r="DI203" s="45" t="s">
        <v>35</v>
      </c>
      <c r="DJ203" s="59" t="str">
        <f t="shared" si="93"/>
        <v>No single majority group</v>
      </c>
      <c r="DK203" s="60">
        <v>60830</v>
      </c>
      <c r="DL203" s="58">
        <v>25.900049317770836</v>
      </c>
      <c r="DM203" s="58">
        <v>31.226368568140721</v>
      </c>
      <c r="DN203" s="58">
        <v>22.077922077922079</v>
      </c>
      <c r="DO203" s="58">
        <v>74.099950682229164</v>
      </c>
      <c r="DP203" s="66">
        <v>53.1</v>
      </c>
      <c r="DQ203" s="67">
        <v>54857</v>
      </c>
      <c r="DR203" s="53">
        <v>17.100000000000001</v>
      </c>
      <c r="DS203" s="58">
        <v>72.2</v>
      </c>
      <c r="DT203" s="53">
        <v>49.4</v>
      </c>
      <c r="DU203" s="55">
        <v>2.89</v>
      </c>
      <c r="DV203" s="102">
        <v>35</v>
      </c>
      <c r="DW203" s="53">
        <v>76.900000000000006</v>
      </c>
      <c r="DX203" s="53">
        <v>97.54</v>
      </c>
      <c r="DY203" s="53">
        <v>58.201500000000003</v>
      </c>
      <c r="DZ203" s="63"/>
    </row>
    <row r="204" spans="1:130" s="5" customFormat="1" ht="14.25" hidden="1" customHeight="1">
      <c r="A204" s="45">
        <v>1155</v>
      </c>
      <c r="B204" s="46" t="s">
        <v>177</v>
      </c>
      <c r="C204" s="47">
        <v>2014</v>
      </c>
      <c r="D204" s="47" t="s">
        <v>21</v>
      </c>
      <c r="E204" s="46" t="s">
        <v>22</v>
      </c>
      <c r="F204" s="46">
        <v>4</v>
      </c>
      <c r="G204" s="48">
        <v>17000</v>
      </c>
      <c r="H204" s="46" t="s">
        <v>332</v>
      </c>
      <c r="I204" s="46">
        <v>3</v>
      </c>
      <c r="J204" s="46">
        <v>9</v>
      </c>
      <c r="K204" s="49" t="s">
        <v>181</v>
      </c>
      <c r="L204" s="49" t="s">
        <v>30</v>
      </c>
      <c r="M204" s="49" t="s">
        <v>29</v>
      </c>
      <c r="N204" s="49" t="s">
        <v>512</v>
      </c>
      <c r="O204" s="49">
        <v>2014</v>
      </c>
      <c r="P204" s="49" t="s">
        <v>857</v>
      </c>
      <c r="Q204" s="49" t="s">
        <v>35</v>
      </c>
      <c r="R204" s="49">
        <v>3</v>
      </c>
      <c r="S204" s="50">
        <f t="shared" si="84"/>
        <v>33.333333333333329</v>
      </c>
      <c r="T204" s="49">
        <v>5</v>
      </c>
      <c r="U204" s="50">
        <f t="shared" si="85"/>
        <v>55.555555555555557</v>
      </c>
      <c r="V204" s="49" t="s">
        <v>878</v>
      </c>
      <c r="W204" s="49">
        <v>1</v>
      </c>
      <c r="X204" s="50">
        <f t="shared" si="86"/>
        <v>11.111111111111111</v>
      </c>
      <c r="Y204" s="51" t="str">
        <f t="shared" si="87"/>
        <v>No</v>
      </c>
      <c r="Z204" s="49" t="s">
        <v>35</v>
      </c>
      <c r="AA204" s="49" t="s">
        <v>23</v>
      </c>
      <c r="AB204" s="49" t="s">
        <v>23</v>
      </c>
      <c r="AC204" s="46" t="s">
        <v>26</v>
      </c>
      <c r="AD204" s="46" t="s">
        <v>27</v>
      </c>
      <c r="AE204" s="46" t="s">
        <v>73</v>
      </c>
      <c r="AF204" s="46" t="s">
        <v>29</v>
      </c>
      <c r="AG204" s="107">
        <v>61404</v>
      </c>
      <c r="AH204" s="70">
        <f t="shared" ref="AH204:AI206" si="107">SUM(6813 +
5497+
6705+
8322+
8754+
2999+
7629+
3134+
1649+
148)</f>
        <v>51650</v>
      </c>
      <c r="AI204" s="70">
        <f t="shared" si="107"/>
        <v>51650</v>
      </c>
      <c r="AJ204" s="102">
        <v>14.77</v>
      </c>
      <c r="AK204" s="104">
        <v>59.08</v>
      </c>
      <c r="AL204" s="102">
        <v>14.77</v>
      </c>
      <c r="AM204" s="102"/>
      <c r="AN204" s="53">
        <f t="shared" si="88"/>
        <v>59.08</v>
      </c>
      <c r="AO204" s="53">
        <v>13.19</v>
      </c>
      <c r="AP204" s="102">
        <v>9754</v>
      </c>
      <c r="AQ204" s="102">
        <v>15.884958634616636</v>
      </c>
      <c r="AR204" s="102"/>
      <c r="AS204" s="102"/>
      <c r="AT204" s="102"/>
      <c r="AU204" s="102"/>
      <c r="AV204" s="102"/>
      <c r="AW204" s="102"/>
      <c r="AX204" s="102"/>
      <c r="AY204" s="102"/>
      <c r="AZ204" s="102"/>
      <c r="BA204" s="102"/>
      <c r="BB204" s="102"/>
      <c r="BC204" s="102"/>
      <c r="BD204" s="102"/>
      <c r="BE204" s="102"/>
      <c r="BF204" s="102"/>
      <c r="BG204" s="102"/>
      <c r="BH204" s="102"/>
      <c r="BI204" s="102"/>
      <c r="BJ204" s="102"/>
      <c r="BK204" s="102"/>
      <c r="BL204" s="102"/>
      <c r="BM204" s="102"/>
      <c r="BN204" s="102"/>
      <c r="BO204" s="102"/>
      <c r="BP204" s="102"/>
      <c r="BQ204" s="102"/>
      <c r="BR204" s="102"/>
      <c r="BS204" s="54" t="s">
        <v>23</v>
      </c>
      <c r="BT204" s="45" t="str">
        <f t="shared" si="102"/>
        <v>Yes</v>
      </c>
      <c r="BU204" s="45" t="str">
        <f t="shared" si="103"/>
        <v>Yes</v>
      </c>
      <c r="BV204" s="45" t="str">
        <f t="shared" si="104"/>
        <v>Yes</v>
      </c>
      <c r="BW204" s="55">
        <v>90.815799860339439</v>
      </c>
      <c r="BX204" s="55">
        <v>90.815799860339439</v>
      </c>
      <c r="BY204" s="55">
        <v>88.885799860339446</v>
      </c>
      <c r="BZ204" s="55">
        <f t="shared" si="106"/>
        <v>88.885799860339432</v>
      </c>
      <c r="CA204" s="45">
        <v>2012</v>
      </c>
      <c r="CB204" s="55">
        <f t="shared" si="91"/>
        <v>28.302920707984004</v>
      </c>
      <c r="CC204" s="46" t="s">
        <v>178</v>
      </c>
      <c r="CD204" s="46" t="s">
        <v>179</v>
      </c>
      <c r="CE204" s="46" t="s">
        <v>179</v>
      </c>
      <c r="CF204" s="46">
        <v>1</v>
      </c>
      <c r="CG204" s="46" t="str">
        <f t="shared" si="92"/>
        <v>No</v>
      </c>
      <c r="CH204" s="46" t="s">
        <v>29</v>
      </c>
      <c r="CI204" s="56">
        <v>340</v>
      </c>
      <c r="CJ204" s="46" t="s">
        <v>180</v>
      </c>
      <c r="CK204" s="46" t="s">
        <v>23</v>
      </c>
      <c r="CL204" s="49" t="s">
        <v>35</v>
      </c>
      <c r="CM204" s="50">
        <f>(5/9)*100</f>
        <v>55.555555555555557</v>
      </c>
      <c r="CN204" s="50"/>
      <c r="CO204" s="50"/>
      <c r="CP204" s="46" t="s">
        <v>23</v>
      </c>
      <c r="CQ204" s="46" t="s">
        <v>24</v>
      </c>
      <c r="CR204" s="46">
        <v>7</v>
      </c>
      <c r="CS204" s="46" t="s">
        <v>854</v>
      </c>
      <c r="CT204" s="46" t="s">
        <v>53</v>
      </c>
      <c r="CU204" s="46" t="s">
        <v>29</v>
      </c>
      <c r="CV204" s="46" t="s">
        <v>23</v>
      </c>
      <c r="CW204" s="46" t="s">
        <v>23</v>
      </c>
      <c r="CX204" s="49" t="s">
        <v>191</v>
      </c>
      <c r="CY204" s="49" t="s">
        <v>182</v>
      </c>
      <c r="CZ204" s="49">
        <v>0</v>
      </c>
      <c r="DA204" s="49">
        <v>0</v>
      </c>
      <c r="DB204" s="57">
        <v>60830</v>
      </c>
      <c r="DC204" s="58">
        <v>25.900049317770836</v>
      </c>
      <c r="DD204" s="58">
        <v>31.226368568140721</v>
      </c>
      <c r="DE204" s="58">
        <v>22.077922077922079</v>
      </c>
      <c r="DF204" s="58">
        <v>15.535097813578828</v>
      </c>
      <c r="DG204" s="58">
        <v>5.2605622225875504</v>
      </c>
      <c r="DH204" s="58">
        <v>74.099950682229164</v>
      </c>
      <c r="DI204" s="45" t="s">
        <v>35</v>
      </c>
      <c r="DJ204" s="59" t="str">
        <f t="shared" si="93"/>
        <v>No single majority group</v>
      </c>
      <c r="DK204" s="60">
        <v>60830</v>
      </c>
      <c r="DL204" s="58">
        <v>25.900049317770836</v>
      </c>
      <c r="DM204" s="58">
        <v>31.226368568140721</v>
      </c>
      <c r="DN204" s="58">
        <v>22.077922077922079</v>
      </c>
      <c r="DO204" s="58">
        <v>74.099950682229164</v>
      </c>
      <c r="DP204" s="66">
        <v>53.1</v>
      </c>
      <c r="DQ204" s="67">
        <v>54857</v>
      </c>
      <c r="DR204" s="53">
        <v>17.100000000000001</v>
      </c>
      <c r="DS204" s="58">
        <v>72.2</v>
      </c>
      <c r="DT204" s="53">
        <v>49.4</v>
      </c>
      <c r="DU204" s="55">
        <v>2.89</v>
      </c>
      <c r="DV204" s="102">
        <v>35</v>
      </c>
      <c r="DW204" s="53">
        <v>76.900000000000006</v>
      </c>
      <c r="DX204" s="53">
        <v>97.54</v>
      </c>
      <c r="DY204" s="53">
        <v>58.201500000000003</v>
      </c>
      <c r="DZ204" s="63"/>
    </row>
    <row r="205" spans="1:130" s="5" customFormat="1" ht="14.25" hidden="1" customHeight="1">
      <c r="A205" s="45">
        <v>1156</v>
      </c>
      <c r="B205" s="46" t="s">
        <v>177</v>
      </c>
      <c r="C205" s="47">
        <v>2014</v>
      </c>
      <c r="D205" s="47" t="s">
        <v>21</v>
      </c>
      <c r="E205" s="46" t="s">
        <v>22</v>
      </c>
      <c r="F205" s="46">
        <v>4</v>
      </c>
      <c r="G205" s="48">
        <v>17000</v>
      </c>
      <c r="H205" s="46" t="s">
        <v>332</v>
      </c>
      <c r="I205" s="46">
        <v>3</v>
      </c>
      <c r="J205" s="46">
        <v>9</v>
      </c>
      <c r="K205" s="49" t="s">
        <v>184</v>
      </c>
      <c r="L205" s="49" t="s">
        <v>40</v>
      </c>
      <c r="M205" s="49" t="s">
        <v>35</v>
      </c>
      <c r="N205" s="49" t="s">
        <v>513</v>
      </c>
      <c r="O205" s="49">
        <v>2010</v>
      </c>
      <c r="P205" s="49" t="s">
        <v>912</v>
      </c>
      <c r="Q205" s="49" t="s">
        <v>35</v>
      </c>
      <c r="R205" s="49">
        <v>3</v>
      </c>
      <c r="S205" s="50">
        <f t="shared" si="84"/>
        <v>33.333333333333329</v>
      </c>
      <c r="T205" s="49">
        <v>5</v>
      </c>
      <c r="U205" s="50">
        <f t="shared" si="85"/>
        <v>55.555555555555557</v>
      </c>
      <c r="V205" s="49" t="s">
        <v>878</v>
      </c>
      <c r="W205" s="49">
        <v>1</v>
      </c>
      <c r="X205" s="50">
        <f t="shared" si="86"/>
        <v>11.111111111111111</v>
      </c>
      <c r="Y205" s="51" t="str">
        <f t="shared" si="87"/>
        <v>Yes</v>
      </c>
      <c r="Z205" s="49" t="s">
        <v>29</v>
      </c>
      <c r="AA205" s="49" t="s">
        <v>35</v>
      </c>
      <c r="AB205" s="45" t="s">
        <v>35</v>
      </c>
      <c r="AC205" s="46" t="s">
        <v>26</v>
      </c>
      <c r="AD205" s="46" t="s">
        <v>27</v>
      </c>
      <c r="AE205" s="46" t="s">
        <v>73</v>
      </c>
      <c r="AF205" s="46" t="s">
        <v>29</v>
      </c>
      <c r="AG205" s="107">
        <v>61404</v>
      </c>
      <c r="AH205" s="70">
        <f t="shared" si="107"/>
        <v>51650</v>
      </c>
      <c r="AI205" s="70">
        <f t="shared" si="107"/>
        <v>51650</v>
      </c>
      <c r="AJ205" s="102">
        <v>16.11</v>
      </c>
      <c r="AK205" s="104">
        <v>64.44</v>
      </c>
      <c r="AL205" s="102">
        <v>16.11</v>
      </c>
      <c r="AM205" s="102"/>
      <c r="AN205" s="53">
        <f t="shared" si="88"/>
        <v>64.44</v>
      </c>
      <c r="AO205" s="53">
        <v>13.19</v>
      </c>
      <c r="AP205" s="102">
        <v>9754</v>
      </c>
      <c r="AQ205" s="102">
        <v>15.884958634616636</v>
      </c>
      <c r="AR205" s="102"/>
      <c r="AS205" s="102"/>
      <c r="AT205" s="102"/>
      <c r="AU205" s="102"/>
      <c r="AV205" s="102"/>
      <c r="AW205" s="102"/>
      <c r="AX205" s="102"/>
      <c r="AY205" s="102"/>
      <c r="AZ205" s="102"/>
      <c r="BA205" s="102"/>
      <c r="BB205" s="102"/>
      <c r="BC205" s="102"/>
      <c r="BD205" s="102"/>
      <c r="BE205" s="102"/>
      <c r="BF205" s="102"/>
      <c r="BG205" s="102"/>
      <c r="BH205" s="102"/>
      <c r="BI205" s="102"/>
      <c r="BJ205" s="102"/>
      <c r="BK205" s="102"/>
      <c r="BL205" s="102"/>
      <c r="BM205" s="102"/>
      <c r="BN205" s="102"/>
      <c r="BO205" s="102"/>
      <c r="BP205" s="102"/>
      <c r="BQ205" s="102"/>
      <c r="BR205" s="102"/>
      <c r="BS205" s="54" t="s">
        <v>23</v>
      </c>
      <c r="BT205" s="45" t="str">
        <f t="shared" si="102"/>
        <v>Yes</v>
      </c>
      <c r="BU205" s="45" t="str">
        <f t="shared" si="103"/>
        <v>Yes</v>
      </c>
      <c r="BV205" s="45" t="str">
        <f t="shared" si="104"/>
        <v>No</v>
      </c>
      <c r="BW205" s="55">
        <v>90.815799860339439</v>
      </c>
      <c r="BX205" s="55">
        <v>90.815799860339439</v>
      </c>
      <c r="BY205" s="55">
        <v>88.885799860339446</v>
      </c>
      <c r="BZ205" s="55">
        <f t="shared" si="106"/>
        <v>88.885799860339432</v>
      </c>
      <c r="CA205" s="45">
        <v>2012</v>
      </c>
      <c r="CB205" s="55">
        <f t="shared" si="91"/>
        <v>28.302920707984004</v>
      </c>
      <c r="CC205" s="46" t="s">
        <v>178</v>
      </c>
      <c r="CD205" s="46" t="s">
        <v>179</v>
      </c>
      <c r="CE205" s="46" t="s">
        <v>179</v>
      </c>
      <c r="CF205" s="46">
        <v>1</v>
      </c>
      <c r="CG205" s="46" t="str">
        <f t="shared" si="92"/>
        <v>No</v>
      </c>
      <c r="CH205" s="46" t="s">
        <v>29</v>
      </c>
      <c r="CI205" s="56">
        <v>340</v>
      </c>
      <c r="CJ205" s="46" t="s">
        <v>180</v>
      </c>
      <c r="CK205" s="46" t="s">
        <v>23</v>
      </c>
      <c r="CL205" s="49" t="s">
        <v>35</v>
      </c>
      <c r="CM205" s="50">
        <f>(5/9)*100</f>
        <v>55.555555555555557</v>
      </c>
      <c r="CN205" s="50"/>
      <c r="CO205" s="50"/>
      <c r="CP205" s="46" t="s">
        <v>23</v>
      </c>
      <c r="CQ205" s="46" t="s">
        <v>24</v>
      </c>
      <c r="CR205" s="46">
        <v>7</v>
      </c>
      <c r="CS205" s="46" t="s">
        <v>854</v>
      </c>
      <c r="CT205" s="46" t="s">
        <v>53</v>
      </c>
      <c r="CU205" s="46" t="s">
        <v>29</v>
      </c>
      <c r="CV205" s="46" t="s">
        <v>23</v>
      </c>
      <c r="CW205" s="46" t="s">
        <v>23</v>
      </c>
      <c r="CX205" s="49" t="s">
        <v>191</v>
      </c>
      <c r="CY205" s="49" t="s">
        <v>182</v>
      </c>
      <c r="CZ205" s="49">
        <v>0</v>
      </c>
      <c r="DA205" s="49">
        <v>0</v>
      </c>
      <c r="DB205" s="57">
        <v>60830</v>
      </c>
      <c r="DC205" s="58">
        <v>25.900049317770836</v>
      </c>
      <c r="DD205" s="58">
        <v>31.226368568140721</v>
      </c>
      <c r="DE205" s="58">
        <v>22.077922077922079</v>
      </c>
      <c r="DF205" s="58">
        <v>15.535097813578828</v>
      </c>
      <c r="DG205" s="58">
        <v>5.2605622225875504</v>
      </c>
      <c r="DH205" s="58">
        <v>74.099950682229164</v>
      </c>
      <c r="DI205" s="45" t="s">
        <v>35</v>
      </c>
      <c r="DJ205" s="59" t="str">
        <f t="shared" si="93"/>
        <v>No single majority group</v>
      </c>
      <c r="DK205" s="60">
        <v>60830</v>
      </c>
      <c r="DL205" s="58">
        <v>25.900049317770836</v>
      </c>
      <c r="DM205" s="58">
        <v>31.226368568140721</v>
      </c>
      <c r="DN205" s="58">
        <v>22.077922077922079</v>
      </c>
      <c r="DO205" s="58">
        <v>74.099950682229164</v>
      </c>
      <c r="DP205" s="66">
        <v>53.1</v>
      </c>
      <c r="DQ205" s="67">
        <v>54857</v>
      </c>
      <c r="DR205" s="53">
        <v>17.100000000000001</v>
      </c>
      <c r="DS205" s="58">
        <v>72.2</v>
      </c>
      <c r="DT205" s="53">
        <v>49.4</v>
      </c>
      <c r="DU205" s="55">
        <v>2.89</v>
      </c>
      <c r="DV205" s="102">
        <v>35</v>
      </c>
      <c r="DW205" s="53">
        <v>76.900000000000006</v>
      </c>
      <c r="DX205" s="53">
        <v>97.54</v>
      </c>
      <c r="DY205" s="53">
        <v>58.201500000000003</v>
      </c>
      <c r="DZ205" s="63"/>
    </row>
    <row r="206" spans="1:130" s="5" customFormat="1" ht="14.25" hidden="1" customHeight="1">
      <c r="A206" s="45">
        <v>1157</v>
      </c>
      <c r="B206" s="46" t="s">
        <v>177</v>
      </c>
      <c r="C206" s="47">
        <v>2014</v>
      </c>
      <c r="D206" s="47" t="s">
        <v>21</v>
      </c>
      <c r="E206" s="46" t="s">
        <v>22</v>
      </c>
      <c r="F206" s="46">
        <v>4</v>
      </c>
      <c r="G206" s="48">
        <v>17000</v>
      </c>
      <c r="H206" s="46" t="s">
        <v>332</v>
      </c>
      <c r="I206" s="46">
        <v>3</v>
      </c>
      <c r="J206" s="46">
        <v>9</v>
      </c>
      <c r="K206" s="49" t="s">
        <v>183</v>
      </c>
      <c r="L206" s="49" t="s">
        <v>40</v>
      </c>
      <c r="M206" s="49" t="s">
        <v>35</v>
      </c>
      <c r="N206" s="49" t="s">
        <v>618</v>
      </c>
      <c r="O206" s="74" t="s">
        <v>3143</v>
      </c>
      <c r="P206" s="49" t="s">
        <v>31</v>
      </c>
      <c r="Q206" s="49" t="s">
        <v>29</v>
      </c>
      <c r="R206" s="49">
        <v>3</v>
      </c>
      <c r="S206" s="50">
        <f t="shared" ref="S206:S237" si="108">(R206/J206)*100</f>
        <v>33.333333333333329</v>
      </c>
      <c r="T206" s="49">
        <v>5</v>
      </c>
      <c r="U206" s="50">
        <f t="shared" ref="U206:U237" si="109">(T206/J206)*100</f>
        <v>55.555555555555557</v>
      </c>
      <c r="V206" s="49" t="s">
        <v>878</v>
      </c>
      <c r="W206" s="49">
        <v>1</v>
      </c>
      <c r="X206" s="50">
        <f t="shared" ref="X206:X237" si="110">(W206/J206)*100</f>
        <v>11.111111111111111</v>
      </c>
      <c r="Y206" s="51" t="str">
        <f t="shared" ref="Y206:Y237" si="111">IF(L206="M","No", IF(P206="n/a","No",IF(P206="white","No","Yes")))</f>
        <v>No</v>
      </c>
      <c r="Z206" s="49" t="s">
        <v>29</v>
      </c>
      <c r="AA206" s="49" t="s">
        <v>35</v>
      </c>
      <c r="AB206" s="49" t="s">
        <v>29</v>
      </c>
      <c r="AC206" s="46" t="s">
        <v>26</v>
      </c>
      <c r="AD206" s="46" t="s">
        <v>27</v>
      </c>
      <c r="AE206" s="46" t="s">
        <v>73</v>
      </c>
      <c r="AF206" s="46" t="s">
        <v>29</v>
      </c>
      <c r="AG206" s="107">
        <v>61404</v>
      </c>
      <c r="AH206" s="70">
        <f t="shared" si="107"/>
        <v>51650</v>
      </c>
      <c r="AI206" s="70">
        <f t="shared" si="107"/>
        <v>51650</v>
      </c>
      <c r="AJ206" s="102">
        <v>16.95</v>
      </c>
      <c r="AK206" s="104">
        <v>67.8</v>
      </c>
      <c r="AL206" s="102">
        <v>16.95</v>
      </c>
      <c r="AM206" s="102"/>
      <c r="AN206" s="53">
        <f t="shared" ref="AN206:AN237" si="112">AL206/(1/(I206+1))</f>
        <v>67.8</v>
      </c>
      <c r="AO206" s="53">
        <v>13.19</v>
      </c>
      <c r="AP206" s="102">
        <v>9754</v>
      </c>
      <c r="AQ206" s="102">
        <v>15.884958634616636</v>
      </c>
      <c r="AR206" s="102"/>
      <c r="AS206" s="102"/>
      <c r="AT206" s="102"/>
      <c r="AU206" s="102"/>
      <c r="AV206" s="102"/>
      <c r="AW206" s="102"/>
      <c r="AX206" s="102"/>
      <c r="AY206" s="102"/>
      <c r="AZ206" s="102"/>
      <c r="BA206" s="102"/>
      <c r="BB206" s="102"/>
      <c r="BC206" s="102"/>
      <c r="BD206" s="102"/>
      <c r="BE206" s="102"/>
      <c r="BF206" s="102"/>
      <c r="BG206" s="102"/>
      <c r="BH206" s="102"/>
      <c r="BI206" s="102"/>
      <c r="BJ206" s="102"/>
      <c r="BK206" s="102"/>
      <c r="BL206" s="102"/>
      <c r="BM206" s="102"/>
      <c r="BN206" s="102"/>
      <c r="BO206" s="102"/>
      <c r="BP206" s="102"/>
      <c r="BQ206" s="102"/>
      <c r="BR206" s="102"/>
      <c r="BS206" s="54" t="s">
        <v>23</v>
      </c>
      <c r="BT206" s="45" t="str">
        <f t="shared" si="102"/>
        <v>Yes</v>
      </c>
      <c r="BU206" s="45" t="str">
        <f t="shared" si="103"/>
        <v>Yes</v>
      </c>
      <c r="BV206" s="45" t="str">
        <f t="shared" si="104"/>
        <v>No</v>
      </c>
      <c r="BW206" s="55">
        <v>90.815799860339439</v>
      </c>
      <c r="BX206" s="55">
        <v>90.815799860339439</v>
      </c>
      <c r="BY206" s="55">
        <v>88.885799860339446</v>
      </c>
      <c r="BZ206" s="55">
        <f t="shared" si="106"/>
        <v>88.885799860339432</v>
      </c>
      <c r="CA206" s="45">
        <v>2012</v>
      </c>
      <c r="CB206" s="55">
        <f t="shared" si="91"/>
        <v>28.302920707984004</v>
      </c>
      <c r="CC206" s="46" t="s">
        <v>178</v>
      </c>
      <c r="CD206" s="46" t="s">
        <v>179</v>
      </c>
      <c r="CE206" s="46" t="s">
        <v>179</v>
      </c>
      <c r="CF206" s="46">
        <v>1</v>
      </c>
      <c r="CG206" s="46" t="str">
        <f t="shared" ref="CG206:CG237" si="113">IF(CD206="Primary (decisive)", "Yes", "No")</f>
        <v>No</v>
      </c>
      <c r="CH206" s="46" t="s">
        <v>29</v>
      </c>
      <c r="CI206" s="56">
        <v>340</v>
      </c>
      <c r="CJ206" s="46" t="s">
        <v>180</v>
      </c>
      <c r="CK206" s="46" t="s">
        <v>23</v>
      </c>
      <c r="CL206" s="49" t="s">
        <v>35</v>
      </c>
      <c r="CM206" s="50">
        <f>(5/9)*100</f>
        <v>55.555555555555557</v>
      </c>
      <c r="CN206" s="50"/>
      <c r="CO206" s="50"/>
      <c r="CP206" s="46" t="s">
        <v>23</v>
      </c>
      <c r="CQ206" s="46" t="s">
        <v>24</v>
      </c>
      <c r="CR206" s="46">
        <v>7</v>
      </c>
      <c r="CS206" s="46" t="s">
        <v>854</v>
      </c>
      <c r="CT206" s="46" t="s">
        <v>53</v>
      </c>
      <c r="CU206" s="46" t="s">
        <v>29</v>
      </c>
      <c r="CV206" s="46" t="s">
        <v>23</v>
      </c>
      <c r="CW206" s="46" t="s">
        <v>23</v>
      </c>
      <c r="CX206" s="49" t="s">
        <v>191</v>
      </c>
      <c r="CY206" s="49" t="s">
        <v>182</v>
      </c>
      <c r="CZ206" s="49">
        <v>0</v>
      </c>
      <c r="DA206" s="49">
        <v>0</v>
      </c>
      <c r="DB206" s="57">
        <v>60830</v>
      </c>
      <c r="DC206" s="58">
        <v>25.900049317770836</v>
      </c>
      <c r="DD206" s="58">
        <v>31.226368568140721</v>
      </c>
      <c r="DE206" s="58">
        <v>22.077922077922079</v>
      </c>
      <c r="DF206" s="58">
        <v>15.535097813578828</v>
      </c>
      <c r="DG206" s="58">
        <v>5.2605622225875504</v>
      </c>
      <c r="DH206" s="58">
        <v>74.099950682229164</v>
      </c>
      <c r="DI206" s="45" t="s">
        <v>35</v>
      </c>
      <c r="DJ206" s="59" t="str">
        <f t="shared" si="93"/>
        <v>No single majority group</v>
      </c>
      <c r="DK206" s="60">
        <v>60830</v>
      </c>
      <c r="DL206" s="58">
        <v>25.900049317770836</v>
      </c>
      <c r="DM206" s="58">
        <v>31.226368568140721</v>
      </c>
      <c r="DN206" s="58">
        <v>22.077922077922079</v>
      </c>
      <c r="DO206" s="58">
        <v>74.099950682229164</v>
      </c>
      <c r="DP206" s="66">
        <v>53.1</v>
      </c>
      <c r="DQ206" s="67">
        <v>54857</v>
      </c>
      <c r="DR206" s="53">
        <v>17.100000000000001</v>
      </c>
      <c r="DS206" s="58">
        <v>72.2</v>
      </c>
      <c r="DT206" s="53">
        <v>49.4</v>
      </c>
      <c r="DU206" s="55">
        <v>2.89</v>
      </c>
      <c r="DV206" s="102">
        <v>35</v>
      </c>
      <c r="DW206" s="53">
        <v>76.900000000000006</v>
      </c>
      <c r="DX206" s="53">
        <v>97.54</v>
      </c>
      <c r="DY206" s="53">
        <v>58.201500000000003</v>
      </c>
      <c r="DZ206" s="63"/>
    </row>
    <row r="207" spans="1:130" s="5" customFormat="1" ht="14.25" hidden="1" customHeight="1">
      <c r="A207" s="45">
        <v>1159</v>
      </c>
      <c r="B207" s="46" t="s">
        <v>177</v>
      </c>
      <c r="C207" s="47">
        <v>2014</v>
      </c>
      <c r="D207" s="47" t="s">
        <v>185</v>
      </c>
      <c r="E207" s="46" t="s">
        <v>22</v>
      </c>
      <c r="F207" s="46">
        <v>2</v>
      </c>
      <c r="G207" s="48">
        <v>17000</v>
      </c>
      <c r="H207" s="46" t="s">
        <v>332</v>
      </c>
      <c r="I207" s="46">
        <v>1</v>
      </c>
      <c r="J207" s="46">
        <v>3</v>
      </c>
      <c r="K207" s="49" t="s">
        <v>186</v>
      </c>
      <c r="L207" s="49" t="s">
        <v>30</v>
      </c>
      <c r="M207" s="49" t="s">
        <v>29</v>
      </c>
      <c r="N207" s="49" t="s">
        <v>512</v>
      </c>
      <c r="O207" s="49">
        <v>2014</v>
      </c>
      <c r="P207" s="49" t="s">
        <v>201</v>
      </c>
      <c r="Q207" s="49" t="s">
        <v>35</v>
      </c>
      <c r="R207" s="49">
        <v>0</v>
      </c>
      <c r="S207" s="50">
        <f t="shared" si="108"/>
        <v>0</v>
      </c>
      <c r="T207" s="49">
        <v>3</v>
      </c>
      <c r="U207" s="50">
        <f t="shared" si="109"/>
        <v>100</v>
      </c>
      <c r="V207" s="49" t="s">
        <v>861</v>
      </c>
      <c r="W207" s="49">
        <v>0</v>
      </c>
      <c r="X207" s="50">
        <f t="shared" si="110"/>
        <v>0</v>
      </c>
      <c r="Y207" s="51" t="str">
        <f t="shared" si="111"/>
        <v>No</v>
      </c>
      <c r="Z207" s="49" t="s">
        <v>35</v>
      </c>
      <c r="AA207" s="49" t="s">
        <v>23</v>
      </c>
      <c r="AB207" s="49" t="s">
        <v>23</v>
      </c>
      <c r="AC207" s="46" t="s">
        <v>26</v>
      </c>
      <c r="AD207" s="46" t="s">
        <v>27</v>
      </c>
      <c r="AE207" s="46" t="s">
        <v>73</v>
      </c>
      <c r="AF207" s="46" t="s">
        <v>35</v>
      </c>
      <c r="AG207" s="103">
        <v>20468</v>
      </c>
      <c r="AH207" s="70">
        <f>SUM(5739+
3121+
9273+
79)</f>
        <v>18212</v>
      </c>
      <c r="AI207" s="70">
        <f>SUM(5739+
3121+
9273+
79)</f>
        <v>18212</v>
      </c>
      <c r="AJ207" s="102">
        <v>50.92</v>
      </c>
      <c r="AK207" s="104">
        <v>101.84</v>
      </c>
      <c r="AL207" s="102">
        <v>50.92</v>
      </c>
      <c r="AM207" s="102"/>
      <c r="AN207" s="53">
        <f t="shared" si="112"/>
        <v>101.84</v>
      </c>
      <c r="AO207" s="53">
        <v>31.51</v>
      </c>
      <c r="AP207" s="102">
        <v>2256</v>
      </c>
      <c r="AQ207" s="102">
        <v>11.022083251905414</v>
      </c>
      <c r="AR207" s="102"/>
      <c r="AS207" s="102"/>
      <c r="AT207" s="102"/>
      <c r="AU207" s="102"/>
      <c r="AV207" s="102"/>
      <c r="AW207" s="102"/>
      <c r="AX207" s="102"/>
      <c r="AY207" s="102"/>
      <c r="AZ207" s="102"/>
      <c r="BA207" s="102"/>
      <c r="BB207" s="102"/>
      <c r="BC207" s="102"/>
      <c r="BD207" s="102"/>
      <c r="BE207" s="102"/>
      <c r="BF207" s="102"/>
      <c r="BG207" s="102"/>
      <c r="BH207" s="102"/>
      <c r="BI207" s="102"/>
      <c r="BJ207" s="102"/>
      <c r="BK207" s="102"/>
      <c r="BL207" s="102"/>
      <c r="BM207" s="102"/>
      <c r="BN207" s="102"/>
      <c r="BO207" s="102"/>
      <c r="BP207" s="102"/>
      <c r="BQ207" s="102"/>
      <c r="BR207" s="102"/>
      <c r="BS207" s="54" t="s">
        <v>23</v>
      </c>
      <c r="BT207" s="45" t="str">
        <f t="shared" si="102"/>
        <v>Yes</v>
      </c>
      <c r="BU207" s="45" t="str">
        <f t="shared" si="103"/>
        <v>No</v>
      </c>
      <c r="BV207" s="45" t="str">
        <f t="shared" si="104"/>
        <v>No</v>
      </c>
      <c r="BW207" s="55">
        <v>90.815799860339439</v>
      </c>
      <c r="BX207" s="55">
        <v>90.815799860339439</v>
      </c>
      <c r="BY207" s="55">
        <v>88.885799860339446</v>
      </c>
      <c r="BZ207" s="55">
        <f t="shared" si="106"/>
        <v>88.885799860339432</v>
      </c>
      <c r="CA207" s="45">
        <v>2012</v>
      </c>
      <c r="CB207" s="55">
        <f t="shared" si="91"/>
        <v>29.939174749301333</v>
      </c>
      <c r="CC207" s="46" t="s">
        <v>39</v>
      </c>
      <c r="CD207" s="46" t="s">
        <v>179</v>
      </c>
      <c r="CE207" s="46" t="s">
        <v>179</v>
      </c>
      <c r="CF207" s="46">
        <v>1</v>
      </c>
      <c r="CG207" s="46" t="str">
        <f t="shared" si="113"/>
        <v>No</v>
      </c>
      <c r="CH207" s="46" t="s">
        <v>29</v>
      </c>
      <c r="CI207" s="56">
        <v>340</v>
      </c>
      <c r="CJ207" s="46" t="s">
        <v>180</v>
      </c>
      <c r="CK207" s="46" t="s">
        <v>23</v>
      </c>
      <c r="CL207" s="49" t="s">
        <v>35</v>
      </c>
      <c r="CM207" s="50">
        <f>(2/3)*100</f>
        <v>66.666666666666657</v>
      </c>
      <c r="CN207" s="50"/>
      <c r="CO207" s="50"/>
      <c r="CP207" s="46" t="s">
        <v>23</v>
      </c>
      <c r="CQ207" s="46" t="s">
        <v>24</v>
      </c>
      <c r="CR207" s="46">
        <v>7</v>
      </c>
      <c r="CS207" s="46" t="s">
        <v>854</v>
      </c>
      <c r="CT207" s="46" t="s">
        <v>53</v>
      </c>
      <c r="CU207" s="46" t="s">
        <v>29</v>
      </c>
      <c r="CV207" s="46" t="s">
        <v>23</v>
      </c>
      <c r="CW207" s="46" t="s">
        <v>23</v>
      </c>
      <c r="CX207" s="49" t="s">
        <v>191</v>
      </c>
      <c r="CY207" s="49" t="s">
        <v>182</v>
      </c>
      <c r="CZ207" s="49">
        <v>0</v>
      </c>
      <c r="DA207" s="49">
        <v>0</v>
      </c>
      <c r="DB207" s="57">
        <v>60830</v>
      </c>
      <c r="DC207" s="58">
        <v>25.900049317770836</v>
      </c>
      <c r="DD207" s="58">
        <v>31.226368568140721</v>
      </c>
      <c r="DE207" s="58">
        <v>22.077922077922079</v>
      </c>
      <c r="DF207" s="58">
        <v>15.535097813578828</v>
      </c>
      <c r="DG207" s="58">
        <v>5.2605622225875504</v>
      </c>
      <c r="DH207" s="58">
        <v>74.099950682229164</v>
      </c>
      <c r="DI207" s="45" t="s">
        <v>35</v>
      </c>
      <c r="DJ207" s="59" t="str">
        <f t="shared" si="93"/>
        <v>No single majority group</v>
      </c>
      <c r="DK207" s="60">
        <v>60830</v>
      </c>
      <c r="DL207" s="58">
        <v>25.900049317770836</v>
      </c>
      <c r="DM207" s="58">
        <v>31.226368568140721</v>
      </c>
      <c r="DN207" s="58">
        <v>22.077922077922079</v>
      </c>
      <c r="DO207" s="58">
        <v>74.099950682229164</v>
      </c>
      <c r="DP207" s="66">
        <v>53.1</v>
      </c>
      <c r="DQ207" s="67">
        <v>54857</v>
      </c>
      <c r="DR207" s="53">
        <v>17.100000000000001</v>
      </c>
      <c r="DS207" s="58">
        <v>72.2</v>
      </c>
      <c r="DT207" s="53">
        <v>49.4</v>
      </c>
      <c r="DU207" s="55">
        <v>2.89</v>
      </c>
      <c r="DV207" s="102">
        <v>35</v>
      </c>
      <c r="DW207" s="53">
        <v>76.900000000000006</v>
      </c>
      <c r="DX207" s="53">
        <v>97.54</v>
      </c>
      <c r="DY207" s="53">
        <v>58.201500000000003</v>
      </c>
      <c r="DZ207" s="63"/>
    </row>
    <row r="208" spans="1:130" s="5" customFormat="1" ht="14.25" hidden="1" customHeight="1">
      <c r="A208" s="45">
        <v>1158</v>
      </c>
      <c r="B208" s="46" t="s">
        <v>177</v>
      </c>
      <c r="C208" s="47">
        <v>2014</v>
      </c>
      <c r="D208" s="47" t="s">
        <v>38</v>
      </c>
      <c r="E208" s="46" t="s">
        <v>22</v>
      </c>
      <c r="F208" s="46">
        <v>4</v>
      </c>
      <c r="G208" s="48">
        <v>46500</v>
      </c>
      <c r="H208" s="46" t="s">
        <v>332</v>
      </c>
      <c r="I208" s="46">
        <v>1</v>
      </c>
      <c r="J208" s="46">
        <v>3</v>
      </c>
      <c r="K208" s="49" t="s">
        <v>187</v>
      </c>
      <c r="L208" s="49" t="s">
        <v>30</v>
      </c>
      <c r="M208" s="49" t="s">
        <v>29</v>
      </c>
      <c r="N208" s="49" t="s">
        <v>512</v>
      </c>
      <c r="O208" s="49">
        <v>2014</v>
      </c>
      <c r="P208" s="49" t="s">
        <v>31</v>
      </c>
      <c r="Q208" s="49" t="s">
        <v>29</v>
      </c>
      <c r="R208" s="49">
        <v>0</v>
      </c>
      <c r="S208" s="50">
        <f t="shared" si="108"/>
        <v>0</v>
      </c>
      <c r="T208" s="49">
        <v>2</v>
      </c>
      <c r="U208" s="50">
        <f t="shared" si="109"/>
        <v>66.666666666666657</v>
      </c>
      <c r="V208" s="49" t="s">
        <v>867</v>
      </c>
      <c r="W208" s="49">
        <v>0</v>
      </c>
      <c r="X208" s="50">
        <f t="shared" si="110"/>
        <v>0</v>
      </c>
      <c r="Y208" s="51" t="str">
        <f t="shared" si="111"/>
        <v>No</v>
      </c>
      <c r="Z208" s="49" t="s">
        <v>35</v>
      </c>
      <c r="AA208" s="49" t="s">
        <v>23</v>
      </c>
      <c r="AB208" s="49" t="s">
        <v>23</v>
      </c>
      <c r="AC208" s="46" t="s">
        <v>26</v>
      </c>
      <c r="AD208" s="46" t="s">
        <v>27</v>
      </c>
      <c r="AE208" s="46" t="s">
        <v>73</v>
      </c>
      <c r="AF208" s="46" t="s">
        <v>29</v>
      </c>
      <c r="AG208" s="103">
        <v>20468</v>
      </c>
      <c r="AH208" s="52">
        <v>19448</v>
      </c>
      <c r="AI208" s="52">
        <v>19448</v>
      </c>
      <c r="AJ208" s="102">
        <v>50.37</v>
      </c>
      <c r="AK208" s="104">
        <v>100.74</v>
      </c>
      <c r="AL208" s="102">
        <v>50.37</v>
      </c>
      <c r="AM208" s="102"/>
      <c r="AN208" s="53">
        <f t="shared" si="112"/>
        <v>100.74</v>
      </c>
      <c r="AO208" s="53">
        <v>35.39</v>
      </c>
      <c r="AP208" s="102">
        <v>1020</v>
      </c>
      <c r="AQ208" s="102">
        <v>4.9833887043189371</v>
      </c>
      <c r="AR208" s="102"/>
      <c r="AS208" s="102"/>
      <c r="AT208" s="102"/>
      <c r="AU208" s="102"/>
      <c r="AV208" s="102"/>
      <c r="AW208" s="102"/>
      <c r="AX208" s="102"/>
      <c r="AY208" s="102"/>
      <c r="AZ208" s="102"/>
      <c r="BA208" s="102"/>
      <c r="BB208" s="102"/>
      <c r="BC208" s="102"/>
      <c r="BD208" s="102"/>
      <c r="BE208" s="102"/>
      <c r="BF208" s="102"/>
      <c r="BG208" s="102"/>
      <c r="BH208" s="102"/>
      <c r="BI208" s="102"/>
      <c r="BJ208" s="102"/>
      <c r="BK208" s="102"/>
      <c r="BL208" s="102"/>
      <c r="BM208" s="102"/>
      <c r="BN208" s="102"/>
      <c r="BO208" s="102"/>
      <c r="BP208" s="102"/>
      <c r="BQ208" s="102"/>
      <c r="BR208" s="102"/>
      <c r="BS208" s="54" t="s">
        <v>23</v>
      </c>
      <c r="BT208" s="45" t="str">
        <f t="shared" si="102"/>
        <v>Yes</v>
      </c>
      <c r="BU208" s="45" t="str">
        <f t="shared" si="103"/>
        <v>Yes</v>
      </c>
      <c r="BV208" s="45" t="str">
        <f t="shared" si="104"/>
        <v>No</v>
      </c>
      <c r="BW208" s="55">
        <v>90.815799860339439</v>
      </c>
      <c r="BX208" s="55">
        <v>90.815799860339439</v>
      </c>
      <c r="BY208" s="55">
        <v>88.885799860339446</v>
      </c>
      <c r="BZ208" s="55">
        <f t="shared" si="106"/>
        <v>88.885799860339432</v>
      </c>
      <c r="CA208" s="45">
        <v>2012</v>
      </c>
      <c r="CB208" s="55">
        <f t="shared" si="91"/>
        <v>31.971066907775768</v>
      </c>
      <c r="CC208" s="46" t="s">
        <v>39</v>
      </c>
      <c r="CD208" s="46" t="s">
        <v>179</v>
      </c>
      <c r="CE208" s="46" t="s">
        <v>179</v>
      </c>
      <c r="CF208" s="46">
        <v>1</v>
      </c>
      <c r="CG208" s="46" t="str">
        <f t="shared" si="113"/>
        <v>No</v>
      </c>
      <c r="CH208" s="46" t="s">
        <v>35</v>
      </c>
      <c r="CI208" s="56">
        <v>930</v>
      </c>
      <c r="CJ208" s="46" t="s">
        <v>180</v>
      </c>
      <c r="CK208" s="46" t="s">
        <v>23</v>
      </c>
      <c r="CL208" s="49" t="s">
        <v>35</v>
      </c>
      <c r="CM208" s="50">
        <f>(2/3)*100</f>
        <v>66.666666666666657</v>
      </c>
      <c r="CN208" s="50">
        <v>314142.63250000001</v>
      </c>
      <c r="CO208" s="50" t="s">
        <v>29</v>
      </c>
      <c r="CP208" s="46" t="s">
        <v>23</v>
      </c>
      <c r="CQ208" s="46" t="s">
        <v>23</v>
      </c>
      <c r="CR208" s="46">
        <v>7</v>
      </c>
      <c r="CS208" s="46" t="s">
        <v>854</v>
      </c>
      <c r="CT208" s="46" t="s">
        <v>53</v>
      </c>
      <c r="CU208" s="46" t="s">
        <v>29</v>
      </c>
      <c r="CV208" s="46" t="s">
        <v>23</v>
      </c>
      <c r="CW208" s="46" t="s">
        <v>23</v>
      </c>
      <c r="CX208" s="49" t="s">
        <v>191</v>
      </c>
      <c r="CY208" s="49" t="s">
        <v>182</v>
      </c>
      <c r="CZ208" s="49">
        <v>0</v>
      </c>
      <c r="DA208" s="49">
        <v>0</v>
      </c>
      <c r="DB208" s="57">
        <v>60830</v>
      </c>
      <c r="DC208" s="58">
        <v>25.900049317770836</v>
      </c>
      <c r="DD208" s="58">
        <v>31.226368568140721</v>
      </c>
      <c r="DE208" s="58">
        <v>22.077922077922079</v>
      </c>
      <c r="DF208" s="58">
        <v>15.535097813578828</v>
      </c>
      <c r="DG208" s="58">
        <v>5.2605622225875504</v>
      </c>
      <c r="DH208" s="58">
        <v>74.099950682229164</v>
      </c>
      <c r="DI208" s="45" t="s">
        <v>35</v>
      </c>
      <c r="DJ208" s="59" t="str">
        <f t="shared" si="93"/>
        <v>No single majority group</v>
      </c>
      <c r="DK208" s="60">
        <v>60830</v>
      </c>
      <c r="DL208" s="58">
        <v>25.900049317770836</v>
      </c>
      <c r="DM208" s="58">
        <v>31.226368568140721</v>
      </c>
      <c r="DN208" s="58">
        <v>22.077922077922079</v>
      </c>
      <c r="DO208" s="58">
        <v>74.099950682229164</v>
      </c>
      <c r="DP208" s="66">
        <v>53.1</v>
      </c>
      <c r="DQ208" s="67">
        <v>54857</v>
      </c>
      <c r="DR208" s="53">
        <v>17.100000000000001</v>
      </c>
      <c r="DS208" s="58">
        <v>72.2</v>
      </c>
      <c r="DT208" s="53">
        <v>49.4</v>
      </c>
      <c r="DU208" s="55">
        <v>2.89</v>
      </c>
      <c r="DV208" s="102">
        <v>35</v>
      </c>
      <c r="DW208" s="53">
        <v>76.900000000000006</v>
      </c>
      <c r="DX208" s="53">
        <v>97.54</v>
      </c>
      <c r="DY208" s="53">
        <v>58.201500000000003</v>
      </c>
      <c r="DZ208" s="63"/>
    </row>
    <row r="209" spans="1:130" s="5" customFormat="1" ht="14.25" customHeight="1">
      <c r="A209" s="45">
        <v>1286</v>
      </c>
      <c r="B209" s="46" t="s">
        <v>210</v>
      </c>
      <c r="C209" s="46">
        <v>1995</v>
      </c>
      <c r="D209" s="46" t="s">
        <v>240</v>
      </c>
      <c r="E209" s="46" t="s">
        <v>22</v>
      </c>
      <c r="F209" s="46">
        <v>4</v>
      </c>
      <c r="G209" s="48">
        <v>190000</v>
      </c>
      <c r="H209" s="46" t="s">
        <v>249</v>
      </c>
      <c r="I209" s="46">
        <v>1</v>
      </c>
      <c r="J209" s="46">
        <v>3</v>
      </c>
      <c r="K209" s="49" t="s">
        <v>278</v>
      </c>
      <c r="L209" s="49" t="s">
        <v>30</v>
      </c>
      <c r="M209" s="49" t="s">
        <v>29</v>
      </c>
      <c r="N209" s="49" t="s">
        <v>513</v>
      </c>
      <c r="O209" s="49"/>
      <c r="P209" s="49" t="s">
        <v>174</v>
      </c>
      <c r="Q209" s="49" t="s">
        <v>29</v>
      </c>
      <c r="R209" s="49">
        <v>0</v>
      </c>
      <c r="S209" s="50">
        <f t="shared" si="108"/>
        <v>0</v>
      </c>
      <c r="T209" s="49" t="str">
        <f>LEFT(V209,2)</f>
        <v xml:space="preserve">1 </v>
      </c>
      <c r="U209" s="50">
        <f t="shared" si="109"/>
        <v>33.333333333333329</v>
      </c>
      <c r="V209" s="49" t="s">
        <v>777</v>
      </c>
      <c r="W209" s="49">
        <v>0</v>
      </c>
      <c r="X209" s="50">
        <f t="shared" si="110"/>
        <v>0</v>
      </c>
      <c r="Y209" s="51" t="str">
        <f t="shared" si="111"/>
        <v>No</v>
      </c>
      <c r="Z209" s="49" t="s">
        <v>29</v>
      </c>
      <c r="AA209" s="49" t="s">
        <v>29</v>
      </c>
      <c r="AB209" s="45" t="s">
        <v>35</v>
      </c>
      <c r="AC209" s="46" t="s">
        <v>267</v>
      </c>
      <c r="AD209" s="46" t="s">
        <v>268</v>
      </c>
      <c r="AE209" s="46" t="s">
        <v>228</v>
      </c>
      <c r="AF209" s="46" t="s">
        <v>29</v>
      </c>
      <c r="AG209" s="103"/>
      <c r="AH209" s="52">
        <v>193482</v>
      </c>
      <c r="AI209" s="52">
        <v>180412</v>
      </c>
      <c r="AJ209" s="102">
        <v>37.96</v>
      </c>
      <c r="AK209" s="104">
        <v>75.92</v>
      </c>
      <c r="AL209" s="102">
        <v>52.1</v>
      </c>
      <c r="AM209" s="102"/>
      <c r="AN209" s="53">
        <f t="shared" si="112"/>
        <v>104.2</v>
      </c>
      <c r="AO209" s="53">
        <v>35.68</v>
      </c>
      <c r="AP209" s="102"/>
      <c r="AQ209" s="102"/>
      <c r="AR209" s="102"/>
      <c r="AS209" s="102"/>
      <c r="AT209" s="102"/>
      <c r="AU209" s="102"/>
      <c r="AV209" s="102"/>
      <c r="AW209" s="102"/>
      <c r="AX209" s="102"/>
      <c r="AY209" s="102"/>
      <c r="AZ209" s="102"/>
      <c r="BA209" s="102"/>
      <c r="BB209" s="102"/>
      <c r="BC209" s="102"/>
      <c r="BD209" s="102"/>
      <c r="BE209" s="102"/>
      <c r="BF209" s="102"/>
      <c r="BG209" s="102"/>
      <c r="BH209" s="102"/>
      <c r="BI209" s="102"/>
      <c r="BJ209" s="102"/>
      <c r="BK209" s="102"/>
      <c r="BL209" s="102"/>
      <c r="BM209" s="102"/>
      <c r="BN209" s="102">
        <v>37.96</v>
      </c>
      <c r="BO209" s="102">
        <f>AI209-AH209</f>
        <v>-13070</v>
      </c>
      <c r="BP209" s="102">
        <f>BO209/AH209 *100</f>
        <v>-6.7551503499033512</v>
      </c>
      <c r="BQ209" s="102" t="str">
        <f>IF(AND((AH209*(BN209/100))&gt;(AI209*(AL209/100)),  AJ209 &lt;&gt;  BN209), "yes", "no")</f>
        <v>no</v>
      </c>
      <c r="BR209" s="102"/>
      <c r="BS209" s="54" t="s">
        <v>29</v>
      </c>
      <c r="BT209" s="45" t="str">
        <f t="shared" si="102"/>
        <v>Yes</v>
      </c>
      <c r="BU209" s="45" t="str">
        <f t="shared" si="103"/>
        <v>Yes</v>
      </c>
      <c r="BV209" s="45" t="str">
        <f t="shared" si="104"/>
        <v>Yes</v>
      </c>
      <c r="BW209" s="55">
        <v>82.182984924938097</v>
      </c>
      <c r="BX209" s="55">
        <v>82.182984924938097</v>
      </c>
      <c r="BY209" s="55">
        <v>77.927984924938102</v>
      </c>
      <c r="BZ209" s="55">
        <f t="shared" ref="BZ209:BZ225" si="114">BX209-(0.0851*100/2)</f>
        <v>77.927984924938102</v>
      </c>
      <c r="CA209" s="45">
        <v>1996</v>
      </c>
      <c r="CB209" s="55" t="s">
        <v>23</v>
      </c>
      <c r="CC209" s="46" t="s">
        <v>266</v>
      </c>
      <c r="CD209" s="46" t="s">
        <v>267</v>
      </c>
      <c r="CE209" s="46" t="s">
        <v>783</v>
      </c>
      <c r="CF209" s="46">
        <v>2</v>
      </c>
      <c r="CG209" s="46" t="str">
        <f t="shared" si="113"/>
        <v>No</v>
      </c>
      <c r="CH209" s="46" t="s">
        <v>29</v>
      </c>
      <c r="CI209" s="56">
        <v>3800</v>
      </c>
      <c r="CJ209" s="46" t="s">
        <v>180</v>
      </c>
      <c r="CK209" s="79">
        <f>CI209*2</f>
        <v>7600</v>
      </c>
      <c r="CL209" s="49" t="s">
        <v>29</v>
      </c>
      <c r="CM209" s="50">
        <v>0</v>
      </c>
      <c r="CN209" s="50"/>
      <c r="CO209" s="50"/>
      <c r="CP209" s="46" t="s">
        <v>23</v>
      </c>
      <c r="CQ209" s="46" t="s">
        <v>23</v>
      </c>
      <c r="CR209" s="46">
        <v>11</v>
      </c>
      <c r="CS209" s="46" t="s">
        <v>855</v>
      </c>
      <c r="CT209" s="46" t="s">
        <v>53</v>
      </c>
      <c r="CU209" s="46" t="s">
        <v>213</v>
      </c>
      <c r="CV209" s="46">
        <v>3</v>
      </c>
      <c r="CW209" s="46" t="s">
        <v>23</v>
      </c>
      <c r="CX209" s="49" t="s">
        <v>920</v>
      </c>
      <c r="CY209" s="49" t="s">
        <v>913</v>
      </c>
      <c r="CZ209" s="49">
        <v>0</v>
      </c>
      <c r="DA209" s="49">
        <v>1</v>
      </c>
      <c r="DB209" s="64"/>
      <c r="DC209" s="58"/>
      <c r="DD209" s="58"/>
      <c r="DE209" s="58"/>
      <c r="DF209" s="58"/>
      <c r="DG209" s="58"/>
      <c r="DH209" s="58"/>
      <c r="DI209" s="45"/>
      <c r="DJ209" s="59"/>
      <c r="DK209" s="65"/>
      <c r="DL209" s="58"/>
      <c r="DM209" s="58"/>
      <c r="DN209" s="58"/>
      <c r="DO209" s="58"/>
      <c r="DP209" s="82"/>
      <c r="DQ209" s="45"/>
      <c r="DR209" s="58"/>
      <c r="DS209" s="58"/>
      <c r="DT209" s="58"/>
      <c r="DU209" s="55"/>
      <c r="DV209" s="105"/>
      <c r="DW209" s="58"/>
      <c r="DX209" s="53"/>
      <c r="DY209" s="58"/>
      <c r="DZ209" s="63"/>
    </row>
    <row r="210" spans="1:130" s="5" customFormat="1" ht="14.25" customHeight="1">
      <c r="A210" s="45">
        <v>1287</v>
      </c>
      <c r="B210" s="46" t="s">
        <v>210</v>
      </c>
      <c r="C210" s="46">
        <v>1995</v>
      </c>
      <c r="D210" s="46" t="s">
        <v>38</v>
      </c>
      <c r="E210" s="46" t="s">
        <v>22</v>
      </c>
      <c r="F210" s="46">
        <v>4</v>
      </c>
      <c r="G210" s="48">
        <v>270000</v>
      </c>
      <c r="H210" s="46" t="s">
        <v>249</v>
      </c>
      <c r="I210" s="46">
        <v>1</v>
      </c>
      <c r="J210" s="46">
        <v>8</v>
      </c>
      <c r="K210" s="49" t="s">
        <v>279</v>
      </c>
      <c r="L210" s="49" t="s">
        <v>30</v>
      </c>
      <c r="M210" s="49" t="s">
        <v>29</v>
      </c>
      <c r="N210" s="49" t="s">
        <v>618</v>
      </c>
      <c r="O210" s="49"/>
      <c r="P210" s="49" t="s">
        <v>201</v>
      </c>
      <c r="Q210" s="49" t="s">
        <v>35</v>
      </c>
      <c r="R210" s="49">
        <v>2</v>
      </c>
      <c r="S210" s="50">
        <f t="shared" si="108"/>
        <v>25</v>
      </c>
      <c r="T210" s="49">
        <v>2</v>
      </c>
      <c r="U210" s="50">
        <f t="shared" si="109"/>
        <v>25</v>
      </c>
      <c r="V210" s="49" t="s">
        <v>891</v>
      </c>
      <c r="W210" s="49">
        <v>0</v>
      </c>
      <c r="X210" s="50">
        <f t="shared" si="110"/>
        <v>0</v>
      </c>
      <c r="Y210" s="51" t="str">
        <f t="shared" si="111"/>
        <v>No</v>
      </c>
      <c r="Z210" s="49" t="s">
        <v>29</v>
      </c>
      <c r="AA210" s="49" t="s">
        <v>29</v>
      </c>
      <c r="AB210" s="49" t="s">
        <v>29</v>
      </c>
      <c r="AC210" s="46" t="s">
        <v>267</v>
      </c>
      <c r="AD210" s="46" t="s">
        <v>268</v>
      </c>
      <c r="AE210" s="46" t="s">
        <v>228</v>
      </c>
      <c r="AF210" s="46" t="s">
        <v>29</v>
      </c>
      <c r="AG210" s="103"/>
      <c r="AH210" s="52">
        <v>210204</v>
      </c>
      <c r="AI210" s="52">
        <v>189673</v>
      </c>
      <c r="AJ210" s="102">
        <v>34.71</v>
      </c>
      <c r="AK210" s="104">
        <v>69.42</v>
      </c>
      <c r="AL210" s="102">
        <v>56.68</v>
      </c>
      <c r="AM210" s="102"/>
      <c r="AN210" s="53">
        <f t="shared" si="112"/>
        <v>113.36</v>
      </c>
      <c r="AO210" s="53">
        <v>33.659999999999997</v>
      </c>
      <c r="AP210" s="102"/>
      <c r="AQ210" s="102"/>
      <c r="AR210" s="102"/>
      <c r="AS210" s="102"/>
      <c r="AT210" s="102"/>
      <c r="AU210" s="102"/>
      <c r="AV210" s="102"/>
      <c r="AW210" s="102"/>
      <c r="AX210" s="102"/>
      <c r="AY210" s="102"/>
      <c r="AZ210" s="102"/>
      <c r="BA210" s="102"/>
      <c r="BB210" s="102"/>
      <c r="BC210" s="102"/>
      <c r="BD210" s="102"/>
      <c r="BE210" s="102"/>
      <c r="BF210" s="102"/>
      <c r="BG210" s="102"/>
      <c r="BH210" s="102"/>
      <c r="BI210" s="102"/>
      <c r="BJ210" s="102"/>
      <c r="BK210" s="102"/>
      <c r="BL210" s="102"/>
      <c r="BM210" s="102"/>
      <c r="BN210" s="102">
        <v>34.700000000000003</v>
      </c>
      <c r="BO210" s="102">
        <f>AI210-AH210</f>
        <v>-20531</v>
      </c>
      <c r="BP210" s="102">
        <f>BO210/AH210 *100</f>
        <v>-9.767178550360601</v>
      </c>
      <c r="BQ210" s="102" t="str">
        <f>IF(AND((AH210*(BN210/100))&gt;(AI210*(AL210/100)),  AJ210 &lt;&gt;  BN210), "yes", "no")</f>
        <v>no</v>
      </c>
      <c r="BR210" s="102"/>
      <c r="BS210" s="54" t="s">
        <v>29</v>
      </c>
      <c r="BT210" s="45" t="str">
        <f t="shared" si="102"/>
        <v>Yes</v>
      </c>
      <c r="BU210" s="45" t="str">
        <f t="shared" si="103"/>
        <v>Yes</v>
      </c>
      <c r="BV210" s="45" t="str">
        <f t="shared" si="104"/>
        <v>Yes</v>
      </c>
      <c r="BW210" s="55">
        <v>82.182984924938097</v>
      </c>
      <c r="BX210" s="55">
        <v>82.182984924938097</v>
      </c>
      <c r="BY210" s="55">
        <v>77.927984924938102</v>
      </c>
      <c r="BZ210" s="55">
        <f t="shared" si="114"/>
        <v>77.927984924938102</v>
      </c>
      <c r="CA210" s="45">
        <v>1996</v>
      </c>
      <c r="CB210" s="55" t="s">
        <v>23</v>
      </c>
      <c r="CC210" s="46" t="s">
        <v>266</v>
      </c>
      <c r="CD210" s="46" t="s">
        <v>267</v>
      </c>
      <c r="CE210" s="46" t="s">
        <v>783</v>
      </c>
      <c r="CF210" s="46">
        <v>2</v>
      </c>
      <c r="CG210" s="46" t="str">
        <f t="shared" si="113"/>
        <v>No</v>
      </c>
      <c r="CH210" s="46" t="s">
        <v>29</v>
      </c>
      <c r="CI210" s="56">
        <v>4000</v>
      </c>
      <c r="CJ210" s="46" t="s">
        <v>180</v>
      </c>
      <c r="CK210" s="79">
        <f>CI210*2</f>
        <v>8000</v>
      </c>
      <c r="CL210" s="49" t="s">
        <v>29</v>
      </c>
      <c r="CM210" s="50">
        <v>0</v>
      </c>
      <c r="CN210" s="50"/>
      <c r="CO210" s="50"/>
      <c r="CP210" s="46" t="s">
        <v>23</v>
      </c>
      <c r="CQ210" s="46" t="s">
        <v>23</v>
      </c>
      <c r="CR210" s="46">
        <v>11</v>
      </c>
      <c r="CS210" s="46" t="s">
        <v>855</v>
      </c>
      <c r="CT210" s="46" t="s">
        <v>53</v>
      </c>
      <c r="CU210" s="46" t="s">
        <v>213</v>
      </c>
      <c r="CV210" s="46">
        <v>3</v>
      </c>
      <c r="CW210" s="46" t="s">
        <v>23</v>
      </c>
      <c r="CX210" s="49" t="s">
        <v>920</v>
      </c>
      <c r="CY210" s="49" t="s">
        <v>913</v>
      </c>
      <c r="CZ210" s="49">
        <v>0</v>
      </c>
      <c r="DA210" s="49">
        <v>1</v>
      </c>
      <c r="DB210" s="64"/>
      <c r="DC210" s="58"/>
      <c r="DD210" s="58"/>
      <c r="DE210" s="58"/>
      <c r="DF210" s="58"/>
      <c r="DG210" s="58"/>
      <c r="DH210" s="58"/>
      <c r="DI210" s="45"/>
      <c r="DJ210" s="59"/>
      <c r="DK210" s="65"/>
      <c r="DL210" s="58"/>
      <c r="DM210" s="58"/>
      <c r="DN210" s="58"/>
      <c r="DO210" s="58"/>
      <c r="DP210" s="82"/>
      <c r="DQ210" s="45"/>
      <c r="DR210" s="58"/>
      <c r="DS210" s="58"/>
      <c r="DT210" s="58"/>
      <c r="DU210" s="55"/>
      <c r="DV210" s="105"/>
      <c r="DW210" s="58"/>
      <c r="DX210" s="53"/>
      <c r="DY210" s="58"/>
      <c r="DZ210" s="63"/>
    </row>
    <row r="211" spans="1:130" s="5" customFormat="1" ht="14.25" customHeight="1">
      <c r="A211" s="45">
        <v>1280</v>
      </c>
      <c r="B211" s="46" t="s">
        <v>210</v>
      </c>
      <c r="C211" s="46">
        <v>1996</v>
      </c>
      <c r="D211" s="46" t="s">
        <v>219</v>
      </c>
      <c r="E211" s="46" t="s">
        <v>22</v>
      </c>
      <c r="F211" s="46">
        <v>4</v>
      </c>
      <c r="G211" s="48">
        <v>108000</v>
      </c>
      <c r="H211" s="46" t="s">
        <v>249</v>
      </c>
      <c r="I211" s="46">
        <v>6</v>
      </c>
      <c r="J211" s="46">
        <v>28</v>
      </c>
      <c r="K211" s="49" t="s">
        <v>287</v>
      </c>
      <c r="L211" s="49" t="s">
        <v>30</v>
      </c>
      <c r="M211" s="49" t="s">
        <v>29</v>
      </c>
      <c r="N211" s="49" t="s">
        <v>512</v>
      </c>
      <c r="O211" s="49"/>
      <c r="P211" s="49" t="s">
        <v>857</v>
      </c>
      <c r="Q211" s="49" t="s">
        <v>35</v>
      </c>
      <c r="R211" s="49">
        <v>10</v>
      </c>
      <c r="S211" s="50">
        <f t="shared" si="108"/>
        <v>35.714285714285715</v>
      </c>
      <c r="T211" s="49">
        <v>10</v>
      </c>
      <c r="U211" s="50">
        <f t="shared" si="109"/>
        <v>35.714285714285715</v>
      </c>
      <c r="V211" s="81" t="s">
        <v>879</v>
      </c>
      <c r="W211" s="49">
        <v>2</v>
      </c>
      <c r="X211" s="50">
        <f t="shared" si="110"/>
        <v>7.1428571428571423</v>
      </c>
      <c r="Y211" s="51" t="str">
        <f t="shared" si="111"/>
        <v>No</v>
      </c>
      <c r="Z211" s="49" t="s">
        <v>35</v>
      </c>
      <c r="AA211" s="49" t="s">
        <v>23</v>
      </c>
      <c r="AB211" s="49" t="s">
        <v>23</v>
      </c>
      <c r="AC211" s="46" t="s">
        <v>26</v>
      </c>
      <c r="AD211" s="46" t="s">
        <v>27</v>
      </c>
      <c r="AE211" s="46" t="s">
        <v>89</v>
      </c>
      <c r="AF211" s="46" t="s">
        <v>29</v>
      </c>
      <c r="AG211" s="103"/>
      <c r="AH211" s="52">
        <v>1199077</v>
      </c>
      <c r="AI211" s="52">
        <v>1199077</v>
      </c>
      <c r="AJ211" s="102">
        <v>7.75</v>
      </c>
      <c r="AK211" s="104">
        <v>54.25</v>
      </c>
      <c r="AL211" s="102">
        <v>7.75</v>
      </c>
      <c r="AM211" s="102"/>
      <c r="AN211" s="53">
        <f t="shared" si="112"/>
        <v>54.25</v>
      </c>
      <c r="AO211" s="53">
        <v>6.56</v>
      </c>
      <c r="AP211" s="102"/>
      <c r="AQ211" s="102"/>
      <c r="AR211" s="102"/>
      <c r="AS211" s="102"/>
      <c r="AT211" s="102"/>
      <c r="AU211" s="102"/>
      <c r="AV211" s="102"/>
      <c r="AW211" s="102"/>
      <c r="AX211" s="102"/>
      <c r="AY211" s="102"/>
      <c r="AZ211" s="102"/>
      <c r="BA211" s="102"/>
      <c r="BB211" s="102"/>
      <c r="BC211" s="102"/>
      <c r="BD211" s="102"/>
      <c r="BE211" s="102"/>
      <c r="BF211" s="102"/>
      <c r="BG211" s="102"/>
      <c r="BH211" s="102"/>
      <c r="BI211" s="102"/>
      <c r="BJ211" s="102"/>
      <c r="BK211" s="102"/>
      <c r="BL211" s="102"/>
      <c r="BM211" s="102"/>
      <c r="BN211" s="102"/>
      <c r="BO211" s="102"/>
      <c r="BP211" s="102"/>
      <c r="BQ211" s="102"/>
      <c r="BR211" s="102"/>
      <c r="BS211" s="54" t="s">
        <v>23</v>
      </c>
      <c r="BT211" s="45" t="str">
        <f t="shared" si="102"/>
        <v>Yes</v>
      </c>
      <c r="BU211" s="45" t="str">
        <f t="shared" si="103"/>
        <v>Yes</v>
      </c>
      <c r="BV211" s="45" t="str">
        <f t="shared" si="104"/>
        <v>No</v>
      </c>
      <c r="BW211" s="55">
        <v>82.182984924938097</v>
      </c>
      <c r="BX211" s="55">
        <v>82.182984924938097</v>
      </c>
      <c r="BY211" s="55">
        <v>77.927984924938102</v>
      </c>
      <c r="BZ211" s="55">
        <f t="shared" si="114"/>
        <v>77.927984924938102</v>
      </c>
      <c r="CA211" s="45">
        <v>1996</v>
      </c>
      <c r="CB211" s="55" t="s">
        <v>23</v>
      </c>
      <c r="CC211" s="46" t="s">
        <v>178</v>
      </c>
      <c r="CD211" s="46" t="s">
        <v>179</v>
      </c>
      <c r="CE211" s="46" t="s">
        <v>179</v>
      </c>
      <c r="CF211" s="46">
        <v>1</v>
      </c>
      <c r="CG211" s="46" t="str">
        <f t="shared" si="113"/>
        <v>No</v>
      </c>
      <c r="CH211" s="46" t="s">
        <v>29</v>
      </c>
      <c r="CI211" s="56">
        <v>500</v>
      </c>
      <c r="CJ211" s="46" t="s">
        <v>180</v>
      </c>
      <c r="CK211" s="79">
        <v>1000</v>
      </c>
      <c r="CL211" s="49" t="s">
        <v>29</v>
      </c>
      <c r="CM211" s="50">
        <v>0</v>
      </c>
      <c r="CN211" s="50"/>
      <c r="CO211" s="50"/>
      <c r="CP211" s="46" t="s">
        <v>23</v>
      </c>
      <c r="CQ211" s="46" t="s">
        <v>24</v>
      </c>
      <c r="CR211" s="46">
        <v>11</v>
      </c>
      <c r="CS211" s="46" t="s">
        <v>855</v>
      </c>
      <c r="CT211" s="46" t="s">
        <v>53</v>
      </c>
      <c r="CU211" s="46" t="s">
        <v>213</v>
      </c>
      <c r="CV211" s="46">
        <v>3</v>
      </c>
      <c r="CW211" s="46" t="s">
        <v>23</v>
      </c>
      <c r="CX211" s="49" t="s">
        <v>920</v>
      </c>
      <c r="CY211" s="49" t="s">
        <v>913</v>
      </c>
      <c r="CZ211" s="49">
        <v>0</v>
      </c>
      <c r="DA211" s="49">
        <v>1</v>
      </c>
      <c r="DB211" s="64"/>
      <c r="DC211" s="58"/>
      <c r="DD211" s="58"/>
      <c r="DE211" s="58"/>
      <c r="DF211" s="58"/>
      <c r="DG211" s="58"/>
      <c r="DH211" s="58"/>
      <c r="DI211" s="45"/>
      <c r="DJ211" s="59"/>
      <c r="DK211" s="65"/>
      <c r="DL211" s="58"/>
      <c r="DM211" s="58"/>
      <c r="DN211" s="58"/>
      <c r="DO211" s="58"/>
      <c r="DP211" s="82"/>
      <c r="DQ211" s="45"/>
      <c r="DR211" s="58"/>
      <c r="DS211" s="58"/>
      <c r="DT211" s="58"/>
      <c r="DU211" s="55"/>
      <c r="DV211" s="105"/>
      <c r="DW211" s="58"/>
      <c r="DX211" s="53"/>
      <c r="DY211" s="58"/>
      <c r="DZ211" s="63"/>
    </row>
    <row r="212" spans="1:130" s="5" customFormat="1" ht="14.25" customHeight="1">
      <c r="A212" s="45">
        <v>1281</v>
      </c>
      <c r="B212" s="46" t="s">
        <v>210</v>
      </c>
      <c r="C212" s="46">
        <v>1996</v>
      </c>
      <c r="D212" s="46" t="s">
        <v>219</v>
      </c>
      <c r="E212" s="46" t="s">
        <v>22</v>
      </c>
      <c r="F212" s="46">
        <v>4</v>
      </c>
      <c r="G212" s="48">
        <v>108000</v>
      </c>
      <c r="H212" s="46" t="s">
        <v>249</v>
      </c>
      <c r="I212" s="46">
        <v>6</v>
      </c>
      <c r="J212" s="46">
        <v>28</v>
      </c>
      <c r="K212" s="49" t="s">
        <v>289</v>
      </c>
      <c r="L212" s="49" t="s">
        <v>30</v>
      </c>
      <c r="M212" s="49" t="s">
        <v>29</v>
      </c>
      <c r="N212" s="49" t="s">
        <v>513</v>
      </c>
      <c r="O212" s="49"/>
      <c r="P212" s="49" t="s">
        <v>34</v>
      </c>
      <c r="Q212" s="49" t="s">
        <v>35</v>
      </c>
      <c r="R212" s="49">
        <v>10</v>
      </c>
      <c r="S212" s="50">
        <f t="shared" si="108"/>
        <v>35.714285714285715</v>
      </c>
      <c r="T212" s="49">
        <v>10</v>
      </c>
      <c r="U212" s="50">
        <f t="shared" si="109"/>
        <v>35.714285714285715</v>
      </c>
      <c r="V212" s="81" t="s">
        <v>879</v>
      </c>
      <c r="W212" s="49">
        <v>2</v>
      </c>
      <c r="X212" s="50">
        <f t="shared" si="110"/>
        <v>7.1428571428571423</v>
      </c>
      <c r="Y212" s="51" t="str">
        <f t="shared" si="111"/>
        <v>No</v>
      </c>
      <c r="Z212" s="49" t="s">
        <v>29</v>
      </c>
      <c r="AA212" s="49" t="s">
        <v>35</v>
      </c>
      <c r="AB212" s="49" t="s">
        <v>29</v>
      </c>
      <c r="AC212" s="46" t="s">
        <v>26</v>
      </c>
      <c r="AD212" s="46" t="s">
        <v>27</v>
      </c>
      <c r="AE212" s="46" t="s">
        <v>89</v>
      </c>
      <c r="AF212" s="46" t="s">
        <v>29</v>
      </c>
      <c r="AG212" s="103"/>
      <c r="AH212" s="52">
        <v>1199077</v>
      </c>
      <c r="AI212" s="52">
        <v>1199077</v>
      </c>
      <c r="AJ212" s="102">
        <v>7.86</v>
      </c>
      <c r="AK212" s="104">
        <v>55.02</v>
      </c>
      <c r="AL212" s="102">
        <v>7.86</v>
      </c>
      <c r="AM212" s="102"/>
      <c r="AN212" s="53">
        <f t="shared" si="112"/>
        <v>55.02</v>
      </c>
      <c r="AO212" s="53">
        <v>6.56</v>
      </c>
      <c r="AP212" s="102"/>
      <c r="AQ212" s="102"/>
      <c r="AR212" s="102"/>
      <c r="AS212" s="102"/>
      <c r="AT212" s="102"/>
      <c r="AU212" s="102"/>
      <c r="AV212" s="102"/>
      <c r="AW212" s="102"/>
      <c r="AX212" s="102"/>
      <c r="AY212" s="102"/>
      <c r="AZ212" s="102"/>
      <c r="BA212" s="102"/>
      <c r="BB212" s="102"/>
      <c r="BC212" s="102"/>
      <c r="BD212" s="102"/>
      <c r="BE212" s="102"/>
      <c r="BF212" s="102"/>
      <c r="BG212" s="102"/>
      <c r="BH212" s="102"/>
      <c r="BI212" s="102"/>
      <c r="BJ212" s="102"/>
      <c r="BK212" s="102"/>
      <c r="BL212" s="102"/>
      <c r="BM212" s="102"/>
      <c r="BN212" s="102"/>
      <c r="BO212" s="102"/>
      <c r="BP212" s="102"/>
      <c r="BQ212" s="102"/>
      <c r="BR212" s="102"/>
      <c r="BS212" s="54" t="s">
        <v>23</v>
      </c>
      <c r="BT212" s="45" t="str">
        <f t="shared" si="102"/>
        <v>Yes</v>
      </c>
      <c r="BU212" s="45" t="str">
        <f t="shared" si="103"/>
        <v>Yes</v>
      </c>
      <c r="BV212" s="45" t="str">
        <f t="shared" si="104"/>
        <v>No</v>
      </c>
      <c r="BW212" s="55">
        <v>82.182984924938097</v>
      </c>
      <c r="BX212" s="55">
        <v>82.182984924938097</v>
      </c>
      <c r="BY212" s="55">
        <v>77.927984924938102</v>
      </c>
      <c r="BZ212" s="55">
        <f t="shared" si="114"/>
        <v>77.927984924938102</v>
      </c>
      <c r="CA212" s="45">
        <v>1996</v>
      </c>
      <c r="CB212" s="55" t="s">
        <v>23</v>
      </c>
      <c r="CC212" s="46" t="s">
        <v>178</v>
      </c>
      <c r="CD212" s="46" t="s">
        <v>179</v>
      </c>
      <c r="CE212" s="46" t="s">
        <v>179</v>
      </c>
      <c r="CF212" s="46">
        <v>1</v>
      </c>
      <c r="CG212" s="46" t="str">
        <f t="shared" si="113"/>
        <v>No</v>
      </c>
      <c r="CH212" s="46" t="s">
        <v>29</v>
      </c>
      <c r="CI212" s="56">
        <v>500</v>
      </c>
      <c r="CJ212" s="46" t="s">
        <v>180</v>
      </c>
      <c r="CK212" s="79">
        <v>1000</v>
      </c>
      <c r="CL212" s="49" t="s">
        <v>29</v>
      </c>
      <c r="CM212" s="50">
        <v>0</v>
      </c>
      <c r="CN212" s="50"/>
      <c r="CO212" s="50"/>
      <c r="CP212" s="46" t="s">
        <v>23</v>
      </c>
      <c r="CQ212" s="46" t="s">
        <v>24</v>
      </c>
      <c r="CR212" s="46">
        <v>11</v>
      </c>
      <c r="CS212" s="46" t="s">
        <v>855</v>
      </c>
      <c r="CT212" s="46" t="s">
        <v>53</v>
      </c>
      <c r="CU212" s="46" t="s">
        <v>213</v>
      </c>
      <c r="CV212" s="46">
        <v>3</v>
      </c>
      <c r="CW212" s="46" t="s">
        <v>23</v>
      </c>
      <c r="CX212" s="49" t="s">
        <v>920</v>
      </c>
      <c r="CY212" s="49" t="s">
        <v>913</v>
      </c>
      <c r="CZ212" s="49">
        <v>0</v>
      </c>
      <c r="DA212" s="49">
        <v>1</v>
      </c>
      <c r="DB212" s="64"/>
      <c r="DC212" s="58"/>
      <c r="DD212" s="58"/>
      <c r="DE212" s="58"/>
      <c r="DF212" s="58"/>
      <c r="DG212" s="58"/>
      <c r="DH212" s="58"/>
      <c r="DI212" s="45"/>
      <c r="DJ212" s="59"/>
      <c r="DK212" s="65"/>
      <c r="DL212" s="58"/>
      <c r="DM212" s="58"/>
      <c r="DN212" s="58"/>
      <c r="DO212" s="58"/>
      <c r="DP212" s="82"/>
      <c r="DQ212" s="45"/>
      <c r="DR212" s="58"/>
      <c r="DS212" s="58"/>
      <c r="DT212" s="58"/>
      <c r="DU212" s="55"/>
      <c r="DV212" s="105"/>
      <c r="DW212" s="58"/>
      <c r="DX212" s="53"/>
      <c r="DY212" s="58"/>
      <c r="DZ212" s="78" t="s">
        <v>942</v>
      </c>
    </row>
    <row r="213" spans="1:130" s="5" customFormat="1" ht="14.25" customHeight="1">
      <c r="A213" s="45">
        <v>1282</v>
      </c>
      <c r="B213" s="46" t="s">
        <v>210</v>
      </c>
      <c r="C213" s="46">
        <v>1996</v>
      </c>
      <c r="D213" s="46" t="s">
        <v>219</v>
      </c>
      <c r="E213" s="46" t="s">
        <v>22</v>
      </c>
      <c r="F213" s="46">
        <v>4</v>
      </c>
      <c r="G213" s="48">
        <v>108000</v>
      </c>
      <c r="H213" s="46" t="s">
        <v>249</v>
      </c>
      <c r="I213" s="46">
        <v>6</v>
      </c>
      <c r="J213" s="46">
        <v>28</v>
      </c>
      <c r="K213" s="49" t="s">
        <v>288</v>
      </c>
      <c r="L213" s="49" t="s">
        <v>40</v>
      </c>
      <c r="M213" s="49" t="s">
        <v>35</v>
      </c>
      <c r="N213" s="49" t="s">
        <v>513</v>
      </c>
      <c r="O213" s="49"/>
      <c r="P213" s="49" t="s">
        <v>174</v>
      </c>
      <c r="Q213" s="49" t="s">
        <v>29</v>
      </c>
      <c r="R213" s="49">
        <v>10</v>
      </c>
      <c r="S213" s="50">
        <f t="shared" si="108"/>
        <v>35.714285714285715</v>
      </c>
      <c r="T213" s="49">
        <v>10</v>
      </c>
      <c r="U213" s="50">
        <f t="shared" si="109"/>
        <v>35.714285714285715</v>
      </c>
      <c r="V213" s="81" t="s">
        <v>879</v>
      </c>
      <c r="W213" s="49">
        <v>2</v>
      </c>
      <c r="X213" s="50">
        <f t="shared" si="110"/>
        <v>7.1428571428571423</v>
      </c>
      <c r="Y213" s="51" t="str">
        <f t="shared" si="111"/>
        <v>No</v>
      </c>
      <c r="Z213" s="49" t="s">
        <v>29</v>
      </c>
      <c r="AA213" s="49" t="s">
        <v>29</v>
      </c>
      <c r="AB213" s="45" t="s">
        <v>35</v>
      </c>
      <c r="AC213" s="46" t="s">
        <v>26</v>
      </c>
      <c r="AD213" s="46" t="s">
        <v>27</v>
      </c>
      <c r="AE213" s="46" t="s">
        <v>89</v>
      </c>
      <c r="AF213" s="46" t="s">
        <v>29</v>
      </c>
      <c r="AG213" s="103"/>
      <c r="AH213" s="52">
        <v>1199077</v>
      </c>
      <c r="AI213" s="52">
        <v>1199077</v>
      </c>
      <c r="AJ213" s="102">
        <v>8.41</v>
      </c>
      <c r="AK213" s="104">
        <v>58.870000000000005</v>
      </c>
      <c r="AL213" s="102">
        <v>8.41</v>
      </c>
      <c r="AM213" s="102"/>
      <c r="AN213" s="53">
        <f t="shared" si="112"/>
        <v>58.870000000000005</v>
      </c>
      <c r="AO213" s="53">
        <v>6.56</v>
      </c>
      <c r="AP213" s="102"/>
      <c r="AQ213" s="102"/>
      <c r="AR213" s="102"/>
      <c r="AS213" s="102"/>
      <c r="AT213" s="102"/>
      <c r="AU213" s="102"/>
      <c r="AV213" s="102"/>
      <c r="AW213" s="102"/>
      <c r="AX213" s="102"/>
      <c r="AY213" s="102"/>
      <c r="AZ213" s="102"/>
      <c r="BA213" s="102"/>
      <c r="BB213" s="102"/>
      <c r="BC213" s="102"/>
      <c r="BD213" s="102"/>
      <c r="BE213" s="102"/>
      <c r="BF213" s="102"/>
      <c r="BG213" s="102"/>
      <c r="BH213" s="102"/>
      <c r="BI213" s="102"/>
      <c r="BJ213" s="102"/>
      <c r="BK213" s="102"/>
      <c r="BL213" s="102"/>
      <c r="BM213" s="102"/>
      <c r="BN213" s="102"/>
      <c r="BO213" s="102"/>
      <c r="BP213" s="102"/>
      <c r="BQ213" s="102"/>
      <c r="BR213" s="102"/>
      <c r="BS213" s="54" t="s">
        <v>23</v>
      </c>
      <c r="BT213" s="45" t="str">
        <f t="shared" si="102"/>
        <v>Yes</v>
      </c>
      <c r="BU213" s="45" t="str">
        <f t="shared" si="103"/>
        <v>Yes</v>
      </c>
      <c r="BV213" s="45" t="str">
        <f t="shared" si="104"/>
        <v>No</v>
      </c>
      <c r="BW213" s="55">
        <v>82.182984924938097</v>
      </c>
      <c r="BX213" s="55">
        <v>82.182984924938097</v>
      </c>
      <c r="BY213" s="55">
        <v>77.927984924938102</v>
      </c>
      <c r="BZ213" s="55">
        <f t="shared" si="114"/>
        <v>77.927984924938102</v>
      </c>
      <c r="CA213" s="45">
        <v>1996</v>
      </c>
      <c r="CB213" s="55" t="s">
        <v>23</v>
      </c>
      <c r="CC213" s="46" t="s">
        <v>178</v>
      </c>
      <c r="CD213" s="46" t="s">
        <v>179</v>
      </c>
      <c r="CE213" s="46" t="s">
        <v>179</v>
      </c>
      <c r="CF213" s="46">
        <v>1</v>
      </c>
      <c r="CG213" s="46" t="str">
        <f t="shared" si="113"/>
        <v>No</v>
      </c>
      <c r="CH213" s="46" t="s">
        <v>29</v>
      </c>
      <c r="CI213" s="56">
        <v>500</v>
      </c>
      <c r="CJ213" s="46" t="s">
        <v>180</v>
      </c>
      <c r="CK213" s="79">
        <v>1000</v>
      </c>
      <c r="CL213" s="49" t="s">
        <v>29</v>
      </c>
      <c r="CM213" s="50">
        <v>0</v>
      </c>
      <c r="CN213" s="50"/>
      <c r="CO213" s="50"/>
      <c r="CP213" s="46" t="s">
        <v>23</v>
      </c>
      <c r="CQ213" s="46" t="s">
        <v>24</v>
      </c>
      <c r="CR213" s="46">
        <v>11</v>
      </c>
      <c r="CS213" s="46" t="s">
        <v>855</v>
      </c>
      <c r="CT213" s="46" t="s">
        <v>53</v>
      </c>
      <c r="CU213" s="46" t="s">
        <v>213</v>
      </c>
      <c r="CV213" s="46">
        <v>3</v>
      </c>
      <c r="CW213" s="46" t="s">
        <v>23</v>
      </c>
      <c r="CX213" s="49" t="s">
        <v>920</v>
      </c>
      <c r="CY213" s="49" t="s">
        <v>913</v>
      </c>
      <c r="CZ213" s="49">
        <v>0</v>
      </c>
      <c r="DA213" s="49">
        <v>1</v>
      </c>
      <c r="DB213" s="64"/>
      <c r="DC213" s="58"/>
      <c r="DD213" s="58"/>
      <c r="DE213" s="58"/>
      <c r="DF213" s="58"/>
      <c r="DG213" s="58"/>
      <c r="DH213" s="58"/>
      <c r="DI213" s="45"/>
      <c r="DJ213" s="59"/>
      <c r="DK213" s="65"/>
      <c r="DL213" s="58"/>
      <c r="DM213" s="58"/>
      <c r="DN213" s="58"/>
      <c r="DO213" s="58"/>
      <c r="DP213" s="82"/>
      <c r="DQ213" s="45"/>
      <c r="DR213" s="58"/>
      <c r="DS213" s="58"/>
      <c r="DT213" s="58"/>
      <c r="DU213" s="55"/>
      <c r="DV213" s="105"/>
      <c r="DW213" s="58"/>
      <c r="DX213" s="53"/>
      <c r="DY213" s="58"/>
      <c r="DZ213" s="78" t="s">
        <v>943</v>
      </c>
    </row>
    <row r="214" spans="1:130" s="5" customFormat="1" ht="14.25" customHeight="1">
      <c r="A214" s="45">
        <v>1283</v>
      </c>
      <c r="B214" s="46" t="s">
        <v>210</v>
      </c>
      <c r="C214" s="46">
        <v>1996</v>
      </c>
      <c r="D214" s="46" t="s">
        <v>219</v>
      </c>
      <c r="E214" s="46" t="s">
        <v>22</v>
      </c>
      <c r="F214" s="46">
        <v>4</v>
      </c>
      <c r="G214" s="48">
        <v>108000</v>
      </c>
      <c r="H214" s="46" t="s">
        <v>249</v>
      </c>
      <c r="I214" s="46">
        <v>6</v>
      </c>
      <c r="J214" s="46">
        <v>28</v>
      </c>
      <c r="K214" s="49" t="s">
        <v>274</v>
      </c>
      <c r="L214" s="49" t="s">
        <v>30</v>
      </c>
      <c r="M214" s="49" t="s">
        <v>29</v>
      </c>
      <c r="N214" s="49" t="s">
        <v>512</v>
      </c>
      <c r="O214" s="49"/>
      <c r="P214" s="49" t="s">
        <v>34</v>
      </c>
      <c r="Q214" s="49" t="s">
        <v>35</v>
      </c>
      <c r="R214" s="49">
        <v>10</v>
      </c>
      <c r="S214" s="50">
        <f t="shared" si="108"/>
        <v>35.714285714285715</v>
      </c>
      <c r="T214" s="49">
        <v>10</v>
      </c>
      <c r="U214" s="50">
        <f t="shared" si="109"/>
        <v>35.714285714285715</v>
      </c>
      <c r="V214" s="81" t="s">
        <v>879</v>
      </c>
      <c r="W214" s="49">
        <v>2</v>
      </c>
      <c r="X214" s="50">
        <f t="shared" si="110"/>
        <v>7.1428571428571423</v>
      </c>
      <c r="Y214" s="51" t="str">
        <f t="shared" si="111"/>
        <v>No</v>
      </c>
      <c r="Z214" s="49" t="s">
        <v>35</v>
      </c>
      <c r="AA214" s="49" t="s">
        <v>23</v>
      </c>
      <c r="AB214" s="49" t="s">
        <v>23</v>
      </c>
      <c r="AC214" s="46" t="s">
        <v>26</v>
      </c>
      <c r="AD214" s="46" t="s">
        <v>27</v>
      </c>
      <c r="AE214" s="46" t="s">
        <v>89</v>
      </c>
      <c r="AF214" s="46" t="s">
        <v>29</v>
      </c>
      <c r="AG214" s="103"/>
      <c r="AH214" s="52">
        <v>1199077</v>
      </c>
      <c r="AI214" s="52">
        <v>1199077</v>
      </c>
      <c r="AJ214" s="102">
        <v>8.6199999999999992</v>
      </c>
      <c r="AK214" s="104">
        <v>60.339999999999996</v>
      </c>
      <c r="AL214" s="102">
        <v>8.6199999999999992</v>
      </c>
      <c r="AM214" s="102"/>
      <c r="AN214" s="53">
        <f t="shared" si="112"/>
        <v>60.339999999999996</v>
      </c>
      <c r="AO214" s="53">
        <v>6.56</v>
      </c>
      <c r="AP214" s="102"/>
      <c r="AQ214" s="102"/>
      <c r="AR214" s="102"/>
      <c r="AS214" s="102"/>
      <c r="AT214" s="102"/>
      <c r="AU214" s="102"/>
      <c r="AV214" s="102"/>
      <c r="AW214" s="102"/>
      <c r="AX214" s="102"/>
      <c r="AY214" s="102"/>
      <c r="AZ214" s="102"/>
      <c r="BA214" s="102"/>
      <c r="BB214" s="102"/>
      <c r="BC214" s="102"/>
      <c r="BD214" s="102"/>
      <c r="BE214" s="102"/>
      <c r="BF214" s="102"/>
      <c r="BG214" s="102"/>
      <c r="BH214" s="102"/>
      <c r="BI214" s="102"/>
      <c r="BJ214" s="102"/>
      <c r="BK214" s="102"/>
      <c r="BL214" s="102"/>
      <c r="BM214" s="102"/>
      <c r="BN214" s="102"/>
      <c r="BO214" s="102"/>
      <c r="BP214" s="102"/>
      <c r="BQ214" s="102"/>
      <c r="BR214" s="102"/>
      <c r="BS214" s="54" t="s">
        <v>23</v>
      </c>
      <c r="BT214" s="45" t="str">
        <f t="shared" si="102"/>
        <v>Yes</v>
      </c>
      <c r="BU214" s="45" t="str">
        <f t="shared" si="103"/>
        <v>Yes</v>
      </c>
      <c r="BV214" s="45" t="str">
        <f t="shared" si="104"/>
        <v>No</v>
      </c>
      <c r="BW214" s="55">
        <v>82.182984924938097</v>
      </c>
      <c r="BX214" s="55">
        <v>82.182984924938097</v>
      </c>
      <c r="BY214" s="55">
        <v>77.927984924938102</v>
      </c>
      <c r="BZ214" s="55">
        <f t="shared" si="114"/>
        <v>77.927984924938102</v>
      </c>
      <c r="CA214" s="45">
        <v>1996</v>
      </c>
      <c r="CB214" s="55" t="s">
        <v>23</v>
      </c>
      <c r="CC214" s="46" t="s">
        <v>178</v>
      </c>
      <c r="CD214" s="46" t="s">
        <v>179</v>
      </c>
      <c r="CE214" s="46" t="s">
        <v>179</v>
      </c>
      <c r="CF214" s="46">
        <v>1</v>
      </c>
      <c r="CG214" s="46" t="str">
        <f t="shared" si="113"/>
        <v>No</v>
      </c>
      <c r="CH214" s="46" t="s">
        <v>29</v>
      </c>
      <c r="CI214" s="56">
        <v>500</v>
      </c>
      <c r="CJ214" s="46" t="s">
        <v>180</v>
      </c>
      <c r="CK214" s="79">
        <v>1000</v>
      </c>
      <c r="CL214" s="49" t="s">
        <v>29</v>
      </c>
      <c r="CM214" s="50">
        <v>0</v>
      </c>
      <c r="CN214" s="50"/>
      <c r="CO214" s="50"/>
      <c r="CP214" s="46" t="s">
        <v>23</v>
      </c>
      <c r="CQ214" s="46" t="s">
        <v>24</v>
      </c>
      <c r="CR214" s="46">
        <v>11</v>
      </c>
      <c r="CS214" s="46" t="s">
        <v>855</v>
      </c>
      <c r="CT214" s="46" t="s">
        <v>53</v>
      </c>
      <c r="CU214" s="46" t="s">
        <v>213</v>
      </c>
      <c r="CV214" s="46">
        <v>3</v>
      </c>
      <c r="CW214" s="46" t="s">
        <v>23</v>
      </c>
      <c r="CX214" s="49" t="s">
        <v>920</v>
      </c>
      <c r="CY214" s="49" t="s">
        <v>913</v>
      </c>
      <c r="CZ214" s="49">
        <v>0</v>
      </c>
      <c r="DA214" s="49">
        <v>1</v>
      </c>
      <c r="DB214" s="64"/>
      <c r="DC214" s="58"/>
      <c r="DD214" s="58"/>
      <c r="DE214" s="58"/>
      <c r="DF214" s="58"/>
      <c r="DG214" s="58"/>
      <c r="DH214" s="58"/>
      <c r="DI214" s="45"/>
      <c r="DJ214" s="59"/>
      <c r="DK214" s="65"/>
      <c r="DL214" s="58"/>
      <c r="DM214" s="58"/>
      <c r="DN214" s="58"/>
      <c r="DO214" s="58"/>
      <c r="DP214" s="82"/>
      <c r="DQ214" s="45"/>
      <c r="DR214" s="58"/>
      <c r="DS214" s="58"/>
      <c r="DT214" s="58"/>
      <c r="DU214" s="55"/>
      <c r="DV214" s="105"/>
      <c r="DW214" s="58"/>
      <c r="DX214" s="53"/>
      <c r="DY214" s="58"/>
      <c r="DZ214" s="63"/>
    </row>
    <row r="215" spans="1:130" s="5" customFormat="1" ht="14.25" customHeight="1">
      <c r="A215" s="45">
        <v>1284</v>
      </c>
      <c r="B215" s="46" t="s">
        <v>210</v>
      </c>
      <c r="C215" s="46">
        <v>1996</v>
      </c>
      <c r="D215" s="46" t="s">
        <v>219</v>
      </c>
      <c r="E215" s="46" t="s">
        <v>22</v>
      </c>
      <c r="F215" s="46">
        <v>4</v>
      </c>
      <c r="G215" s="48">
        <v>108000</v>
      </c>
      <c r="H215" s="46" t="s">
        <v>249</v>
      </c>
      <c r="I215" s="46">
        <v>6</v>
      </c>
      <c r="J215" s="46">
        <v>28</v>
      </c>
      <c r="K215" s="49" t="s">
        <v>290</v>
      </c>
      <c r="L215" s="49" t="s">
        <v>40</v>
      </c>
      <c r="M215" s="49" t="s">
        <v>35</v>
      </c>
      <c r="N215" s="49" t="s">
        <v>513</v>
      </c>
      <c r="O215" s="49"/>
      <c r="P215" s="49" t="s">
        <v>174</v>
      </c>
      <c r="Q215" s="49" t="s">
        <v>29</v>
      </c>
      <c r="R215" s="49">
        <v>10</v>
      </c>
      <c r="S215" s="50">
        <f t="shared" si="108"/>
        <v>35.714285714285715</v>
      </c>
      <c r="T215" s="49">
        <v>10</v>
      </c>
      <c r="U215" s="50">
        <f t="shared" si="109"/>
        <v>35.714285714285715</v>
      </c>
      <c r="V215" s="81" t="s">
        <v>879</v>
      </c>
      <c r="W215" s="49">
        <v>2</v>
      </c>
      <c r="X215" s="50">
        <f t="shared" si="110"/>
        <v>7.1428571428571423</v>
      </c>
      <c r="Y215" s="51" t="str">
        <f t="shared" si="111"/>
        <v>No</v>
      </c>
      <c r="Z215" s="49" t="s">
        <v>29</v>
      </c>
      <c r="AA215" s="49" t="s">
        <v>29</v>
      </c>
      <c r="AB215" s="45" t="s">
        <v>35</v>
      </c>
      <c r="AC215" s="46" t="s">
        <v>26</v>
      </c>
      <c r="AD215" s="46" t="s">
        <v>27</v>
      </c>
      <c r="AE215" s="46" t="s">
        <v>89</v>
      </c>
      <c r="AF215" s="46" t="s">
        <v>29</v>
      </c>
      <c r="AG215" s="103"/>
      <c r="AH215" s="52">
        <v>1199077</v>
      </c>
      <c r="AI215" s="52">
        <v>1199077</v>
      </c>
      <c r="AJ215" s="102">
        <v>9.8000000000000007</v>
      </c>
      <c r="AK215" s="104">
        <v>68.600000000000009</v>
      </c>
      <c r="AL215" s="102">
        <v>9.8000000000000007</v>
      </c>
      <c r="AM215" s="102"/>
      <c r="AN215" s="53">
        <f t="shared" si="112"/>
        <v>68.600000000000009</v>
      </c>
      <c r="AO215" s="53">
        <v>6.56</v>
      </c>
      <c r="AP215" s="102"/>
      <c r="AQ215" s="102"/>
      <c r="AR215" s="102"/>
      <c r="AS215" s="102"/>
      <c r="AT215" s="102"/>
      <c r="AU215" s="102"/>
      <c r="AV215" s="102"/>
      <c r="AW215" s="102"/>
      <c r="AX215" s="102"/>
      <c r="AY215" s="102"/>
      <c r="AZ215" s="102"/>
      <c r="BA215" s="102"/>
      <c r="BB215" s="102"/>
      <c r="BC215" s="102"/>
      <c r="BD215" s="102"/>
      <c r="BE215" s="102"/>
      <c r="BF215" s="102"/>
      <c r="BG215" s="102"/>
      <c r="BH215" s="102"/>
      <c r="BI215" s="102"/>
      <c r="BJ215" s="102"/>
      <c r="BK215" s="102"/>
      <c r="BL215" s="102"/>
      <c r="BM215" s="102"/>
      <c r="BN215" s="102"/>
      <c r="BO215" s="102"/>
      <c r="BP215" s="102"/>
      <c r="BQ215" s="102"/>
      <c r="BR215" s="102"/>
      <c r="BS215" s="54" t="s">
        <v>23</v>
      </c>
      <c r="BT215" s="45" t="str">
        <f t="shared" si="102"/>
        <v>Yes</v>
      </c>
      <c r="BU215" s="45" t="str">
        <f t="shared" si="103"/>
        <v>Yes</v>
      </c>
      <c r="BV215" s="45" t="str">
        <f t="shared" si="104"/>
        <v>No</v>
      </c>
      <c r="BW215" s="55">
        <v>82.182984924938097</v>
      </c>
      <c r="BX215" s="55">
        <v>82.182984924938097</v>
      </c>
      <c r="BY215" s="55">
        <v>77.927984924938102</v>
      </c>
      <c r="BZ215" s="55">
        <f t="shared" si="114"/>
        <v>77.927984924938102</v>
      </c>
      <c r="CA215" s="45">
        <v>1996</v>
      </c>
      <c r="CB215" s="55" t="s">
        <v>23</v>
      </c>
      <c r="CC215" s="46" t="s">
        <v>178</v>
      </c>
      <c r="CD215" s="46" t="s">
        <v>179</v>
      </c>
      <c r="CE215" s="46" t="s">
        <v>179</v>
      </c>
      <c r="CF215" s="46">
        <v>1</v>
      </c>
      <c r="CG215" s="46" t="str">
        <f t="shared" si="113"/>
        <v>No</v>
      </c>
      <c r="CH215" s="46" t="s">
        <v>29</v>
      </c>
      <c r="CI215" s="56">
        <v>500</v>
      </c>
      <c r="CJ215" s="46" t="s">
        <v>180</v>
      </c>
      <c r="CK215" s="79">
        <v>1000</v>
      </c>
      <c r="CL215" s="49" t="s">
        <v>29</v>
      </c>
      <c r="CM215" s="102">
        <v>0</v>
      </c>
      <c r="CN215" s="102"/>
      <c r="CO215" s="102"/>
      <c r="CP215" s="46" t="s">
        <v>23</v>
      </c>
      <c r="CQ215" s="46" t="s">
        <v>24</v>
      </c>
      <c r="CR215" s="46">
        <v>11</v>
      </c>
      <c r="CS215" s="46" t="s">
        <v>855</v>
      </c>
      <c r="CT215" s="46" t="s">
        <v>53</v>
      </c>
      <c r="CU215" s="46" t="s">
        <v>213</v>
      </c>
      <c r="CV215" s="46">
        <v>3</v>
      </c>
      <c r="CW215" s="46" t="s">
        <v>23</v>
      </c>
      <c r="CX215" s="49" t="s">
        <v>920</v>
      </c>
      <c r="CY215" s="49" t="s">
        <v>913</v>
      </c>
      <c r="CZ215" s="49">
        <v>0</v>
      </c>
      <c r="DA215" s="49">
        <v>1</v>
      </c>
      <c r="DB215" s="64"/>
      <c r="DC215" s="58"/>
      <c r="DD215" s="58"/>
      <c r="DE215" s="58"/>
      <c r="DF215" s="58"/>
      <c r="DG215" s="58"/>
      <c r="DH215" s="58"/>
      <c r="DI215" s="45"/>
      <c r="DJ215" s="59"/>
      <c r="DK215" s="65"/>
      <c r="DL215" s="58"/>
      <c r="DM215" s="58"/>
      <c r="DN215" s="58"/>
      <c r="DO215" s="58"/>
      <c r="DP215" s="82"/>
      <c r="DQ215" s="45"/>
      <c r="DR215" s="58"/>
      <c r="DS215" s="58"/>
      <c r="DT215" s="58"/>
      <c r="DU215" s="55"/>
      <c r="DV215" s="105"/>
      <c r="DW215" s="58"/>
      <c r="DX215" s="53"/>
      <c r="DY215" s="58"/>
      <c r="DZ215" s="63"/>
    </row>
    <row r="216" spans="1:130" s="5" customFormat="1" ht="14.25" customHeight="1">
      <c r="A216" s="45">
        <v>1285</v>
      </c>
      <c r="B216" s="46" t="s">
        <v>210</v>
      </c>
      <c r="C216" s="46">
        <v>1996</v>
      </c>
      <c r="D216" s="46" t="s">
        <v>219</v>
      </c>
      <c r="E216" s="46" t="s">
        <v>22</v>
      </c>
      <c r="F216" s="46">
        <v>4</v>
      </c>
      <c r="G216" s="48">
        <v>108000</v>
      </c>
      <c r="H216" s="46" t="s">
        <v>249</v>
      </c>
      <c r="I216" s="46">
        <v>6</v>
      </c>
      <c r="J216" s="46">
        <v>28</v>
      </c>
      <c r="K216" s="49" t="s">
        <v>286</v>
      </c>
      <c r="L216" s="49" t="s">
        <v>40</v>
      </c>
      <c r="M216" s="49" t="s">
        <v>35</v>
      </c>
      <c r="N216" s="49" t="s">
        <v>513</v>
      </c>
      <c r="O216" s="49"/>
      <c r="P216" s="49" t="s">
        <v>174</v>
      </c>
      <c r="Q216" s="49" t="s">
        <v>29</v>
      </c>
      <c r="R216" s="49">
        <v>10</v>
      </c>
      <c r="S216" s="50">
        <f t="shared" si="108"/>
        <v>35.714285714285715</v>
      </c>
      <c r="T216" s="49">
        <v>10</v>
      </c>
      <c r="U216" s="50">
        <f t="shared" si="109"/>
        <v>35.714285714285715</v>
      </c>
      <c r="V216" s="81" t="s">
        <v>879</v>
      </c>
      <c r="W216" s="49">
        <v>2</v>
      </c>
      <c r="X216" s="50">
        <f t="shared" si="110"/>
        <v>7.1428571428571423</v>
      </c>
      <c r="Y216" s="51" t="str">
        <f t="shared" si="111"/>
        <v>No</v>
      </c>
      <c r="Z216" s="49" t="s">
        <v>29</v>
      </c>
      <c r="AA216" s="49" t="s">
        <v>29</v>
      </c>
      <c r="AB216" s="45" t="s">
        <v>35</v>
      </c>
      <c r="AC216" s="46" t="s">
        <v>26</v>
      </c>
      <c r="AD216" s="46" t="s">
        <v>27</v>
      </c>
      <c r="AE216" s="46" t="s">
        <v>89</v>
      </c>
      <c r="AF216" s="46" t="s">
        <v>29</v>
      </c>
      <c r="AG216" s="103"/>
      <c r="AH216" s="52">
        <v>1199077</v>
      </c>
      <c r="AI216" s="52">
        <v>1199077</v>
      </c>
      <c r="AJ216" s="102">
        <v>10.4</v>
      </c>
      <c r="AK216" s="104">
        <v>72.800000000000011</v>
      </c>
      <c r="AL216" s="102">
        <v>10.4</v>
      </c>
      <c r="AM216" s="102"/>
      <c r="AN216" s="53">
        <f t="shared" si="112"/>
        <v>72.800000000000011</v>
      </c>
      <c r="AO216" s="53">
        <v>6.56</v>
      </c>
      <c r="AP216" s="102"/>
      <c r="AQ216" s="102"/>
      <c r="AR216" s="102"/>
      <c r="AS216" s="102"/>
      <c r="AT216" s="102"/>
      <c r="AU216" s="102"/>
      <c r="AV216" s="102"/>
      <c r="AW216" s="102"/>
      <c r="AX216" s="102"/>
      <c r="AY216" s="102"/>
      <c r="AZ216" s="102"/>
      <c r="BA216" s="102"/>
      <c r="BB216" s="102"/>
      <c r="BC216" s="102"/>
      <c r="BD216" s="102"/>
      <c r="BE216" s="102"/>
      <c r="BF216" s="102"/>
      <c r="BG216" s="102"/>
      <c r="BH216" s="102"/>
      <c r="BI216" s="102"/>
      <c r="BJ216" s="102"/>
      <c r="BK216" s="102"/>
      <c r="BL216" s="102"/>
      <c r="BM216" s="102"/>
      <c r="BN216" s="102"/>
      <c r="BO216" s="102"/>
      <c r="BP216" s="102"/>
      <c r="BQ216" s="102"/>
      <c r="BR216" s="102"/>
      <c r="BS216" s="54" t="s">
        <v>23</v>
      </c>
      <c r="BT216" s="45" t="str">
        <f t="shared" si="102"/>
        <v>Yes</v>
      </c>
      <c r="BU216" s="45" t="str">
        <f t="shared" si="103"/>
        <v>No</v>
      </c>
      <c r="BV216" s="45" t="str">
        <f t="shared" si="104"/>
        <v>No</v>
      </c>
      <c r="BW216" s="55">
        <v>82.182984924938097</v>
      </c>
      <c r="BX216" s="55">
        <v>82.182984924938097</v>
      </c>
      <c r="BY216" s="55">
        <v>77.927984924938102</v>
      </c>
      <c r="BZ216" s="55">
        <f t="shared" si="114"/>
        <v>77.927984924938102</v>
      </c>
      <c r="CA216" s="45">
        <v>1996</v>
      </c>
      <c r="CB216" s="55" t="s">
        <v>23</v>
      </c>
      <c r="CC216" s="46" t="s">
        <v>178</v>
      </c>
      <c r="CD216" s="46" t="s">
        <v>179</v>
      </c>
      <c r="CE216" s="46" t="s">
        <v>179</v>
      </c>
      <c r="CF216" s="46">
        <v>1</v>
      </c>
      <c r="CG216" s="46" t="str">
        <f t="shared" si="113"/>
        <v>No</v>
      </c>
      <c r="CH216" s="46" t="s">
        <v>29</v>
      </c>
      <c r="CI216" s="56">
        <v>500</v>
      </c>
      <c r="CJ216" s="46" t="s">
        <v>180</v>
      </c>
      <c r="CK216" s="79">
        <v>1000</v>
      </c>
      <c r="CL216" s="49" t="s">
        <v>29</v>
      </c>
      <c r="CM216" s="50">
        <v>0</v>
      </c>
      <c r="CN216" s="50"/>
      <c r="CO216" s="50"/>
      <c r="CP216" s="46" t="s">
        <v>23</v>
      </c>
      <c r="CQ216" s="46" t="s">
        <v>24</v>
      </c>
      <c r="CR216" s="46">
        <v>11</v>
      </c>
      <c r="CS216" s="46" t="s">
        <v>855</v>
      </c>
      <c r="CT216" s="46" t="s">
        <v>53</v>
      </c>
      <c r="CU216" s="46" t="s">
        <v>213</v>
      </c>
      <c r="CV216" s="46">
        <v>3</v>
      </c>
      <c r="CW216" s="46" t="s">
        <v>23</v>
      </c>
      <c r="CX216" s="49" t="s">
        <v>920</v>
      </c>
      <c r="CY216" s="49" t="s">
        <v>913</v>
      </c>
      <c r="CZ216" s="49">
        <v>0</v>
      </c>
      <c r="DA216" s="49">
        <v>1</v>
      </c>
      <c r="DB216" s="64"/>
      <c r="DC216" s="58"/>
      <c r="DD216" s="58"/>
      <c r="DE216" s="58"/>
      <c r="DF216" s="58"/>
      <c r="DG216" s="58"/>
      <c r="DH216" s="58"/>
      <c r="DI216" s="45"/>
      <c r="DJ216" s="59"/>
      <c r="DK216" s="65"/>
      <c r="DL216" s="58"/>
      <c r="DM216" s="58"/>
      <c r="DN216" s="58"/>
      <c r="DO216" s="58"/>
      <c r="DP216" s="82"/>
      <c r="DQ216" s="45"/>
      <c r="DR216" s="58"/>
      <c r="DS216" s="58"/>
      <c r="DT216" s="58"/>
      <c r="DU216" s="55"/>
      <c r="DV216" s="105"/>
      <c r="DW216" s="58"/>
      <c r="DX216" s="53"/>
      <c r="DY216" s="58"/>
      <c r="DZ216" s="63"/>
    </row>
    <row r="217" spans="1:130" s="5" customFormat="1" ht="14.25" customHeight="1">
      <c r="A217" s="45">
        <v>1277</v>
      </c>
      <c r="B217" s="46" t="s">
        <v>210</v>
      </c>
      <c r="C217" s="46">
        <v>1997</v>
      </c>
      <c r="D217" s="46" t="s">
        <v>211</v>
      </c>
      <c r="E217" s="46" t="s">
        <v>22</v>
      </c>
      <c r="F217" s="46">
        <v>4</v>
      </c>
      <c r="G217" s="48">
        <v>180000</v>
      </c>
      <c r="H217" s="46" t="s">
        <v>249</v>
      </c>
      <c r="I217" s="46">
        <v>1</v>
      </c>
      <c r="J217" s="46">
        <v>2</v>
      </c>
      <c r="K217" s="49" t="s">
        <v>282</v>
      </c>
      <c r="L217" s="49" t="s">
        <v>40</v>
      </c>
      <c r="M217" s="49" t="s">
        <v>35</v>
      </c>
      <c r="N217" s="49" t="s">
        <v>513</v>
      </c>
      <c r="O217" s="49"/>
      <c r="P217" s="49" t="s">
        <v>201</v>
      </c>
      <c r="Q217" s="49" t="s">
        <v>35</v>
      </c>
      <c r="R217" s="49">
        <v>1</v>
      </c>
      <c r="S217" s="50">
        <f t="shared" si="108"/>
        <v>50</v>
      </c>
      <c r="T217" s="49">
        <v>1</v>
      </c>
      <c r="U217" s="50">
        <f t="shared" si="109"/>
        <v>50</v>
      </c>
      <c r="V217" s="49" t="s">
        <v>858</v>
      </c>
      <c r="W217" s="49">
        <v>1</v>
      </c>
      <c r="X217" s="50">
        <f t="shared" si="110"/>
        <v>50</v>
      </c>
      <c r="Y217" s="51" t="str">
        <f t="shared" si="111"/>
        <v>Yes</v>
      </c>
      <c r="Z217" s="49" t="s">
        <v>29</v>
      </c>
      <c r="AA217" s="49" t="s">
        <v>35</v>
      </c>
      <c r="AB217" s="45" t="s">
        <v>35</v>
      </c>
      <c r="AC217" s="46" t="s">
        <v>151</v>
      </c>
      <c r="AD217" s="46" t="s">
        <v>152</v>
      </c>
      <c r="AE217" s="46" t="s">
        <v>73</v>
      </c>
      <c r="AF217" s="46" t="s">
        <v>29</v>
      </c>
      <c r="AG217" s="103"/>
      <c r="AH217" s="52">
        <v>134028</v>
      </c>
      <c r="AI217" s="52">
        <v>134028</v>
      </c>
      <c r="AJ217" s="102">
        <v>63.47</v>
      </c>
      <c r="AK217" s="104">
        <v>126.94</v>
      </c>
      <c r="AL217" s="102">
        <v>63.47</v>
      </c>
      <c r="AM217" s="102"/>
      <c r="AN217" s="53">
        <f t="shared" si="112"/>
        <v>126.94</v>
      </c>
      <c r="AO217" s="53">
        <v>36.5</v>
      </c>
      <c r="AP217" s="102"/>
      <c r="AQ217" s="102"/>
      <c r="AR217" s="102"/>
      <c r="AS217" s="102"/>
      <c r="AT217" s="102"/>
      <c r="AU217" s="102"/>
      <c r="AV217" s="102"/>
      <c r="AW217" s="102"/>
      <c r="AX217" s="102"/>
      <c r="AY217" s="102"/>
      <c r="AZ217" s="102"/>
      <c r="BA217" s="102"/>
      <c r="BB217" s="102"/>
      <c r="BC217" s="102"/>
      <c r="BD217" s="102"/>
      <c r="BE217" s="102"/>
      <c r="BF217" s="102"/>
      <c r="BG217" s="102"/>
      <c r="BH217" s="102"/>
      <c r="BI217" s="102"/>
      <c r="BJ217" s="102"/>
      <c r="BK217" s="102"/>
      <c r="BL217" s="102"/>
      <c r="BM217" s="102"/>
      <c r="BN217" s="102"/>
      <c r="BO217" s="102"/>
      <c r="BP217" s="102"/>
      <c r="BQ217" s="102"/>
      <c r="BR217" s="102"/>
      <c r="BS217" s="54" t="s">
        <v>29</v>
      </c>
      <c r="BT217" s="45" t="str">
        <f t="shared" si="102"/>
        <v>Yes</v>
      </c>
      <c r="BU217" s="45" t="str">
        <f t="shared" si="103"/>
        <v>No</v>
      </c>
      <c r="BV217" s="45" t="str">
        <f t="shared" si="104"/>
        <v>No</v>
      </c>
      <c r="BW217" s="55">
        <v>82.182984924938097</v>
      </c>
      <c r="BX217" s="55">
        <v>82.182984924938097</v>
      </c>
      <c r="BY217" s="55">
        <v>77.927984924938102</v>
      </c>
      <c r="BZ217" s="55">
        <f t="shared" si="114"/>
        <v>77.927984924938102</v>
      </c>
      <c r="CA217" s="45">
        <v>1996</v>
      </c>
      <c r="CB217" s="55" t="s">
        <v>23</v>
      </c>
      <c r="CC217" s="46" t="s">
        <v>281</v>
      </c>
      <c r="CD217" s="46" t="s">
        <v>151</v>
      </c>
      <c r="CE217" s="46" t="s">
        <v>783</v>
      </c>
      <c r="CF217" s="46">
        <v>2</v>
      </c>
      <c r="CG217" s="46" t="str">
        <f t="shared" si="113"/>
        <v>Yes</v>
      </c>
      <c r="CH217" s="46" t="s">
        <v>29</v>
      </c>
      <c r="CI217" s="56">
        <v>2900</v>
      </c>
      <c r="CJ217" s="46" t="s">
        <v>180</v>
      </c>
      <c r="CK217" s="79">
        <f>CI217*2</f>
        <v>5800</v>
      </c>
      <c r="CL217" s="49" t="s">
        <v>29</v>
      </c>
      <c r="CM217" s="50">
        <v>0</v>
      </c>
      <c r="CN217" s="50"/>
      <c r="CO217" s="50"/>
      <c r="CP217" s="46" t="s">
        <v>23</v>
      </c>
      <c r="CQ217" s="46" t="s">
        <v>23</v>
      </c>
      <c r="CR217" s="46">
        <v>11</v>
      </c>
      <c r="CS217" s="46" t="s">
        <v>855</v>
      </c>
      <c r="CT217" s="46" t="s">
        <v>53</v>
      </c>
      <c r="CU217" s="46" t="s">
        <v>213</v>
      </c>
      <c r="CV217" s="46">
        <v>2</v>
      </c>
      <c r="CW217" s="46" t="s">
        <v>23</v>
      </c>
      <c r="CX217" s="49" t="s">
        <v>921</v>
      </c>
      <c r="CY217" s="49" t="s">
        <v>913</v>
      </c>
      <c r="CZ217" s="49">
        <v>0</v>
      </c>
      <c r="DA217" s="49">
        <v>1</v>
      </c>
      <c r="DB217" s="64"/>
      <c r="DC217" s="58"/>
      <c r="DD217" s="58"/>
      <c r="DE217" s="58"/>
      <c r="DF217" s="58"/>
      <c r="DG217" s="58"/>
      <c r="DH217" s="58"/>
      <c r="DI217" s="45"/>
      <c r="DJ217" s="59"/>
      <c r="DK217" s="65"/>
      <c r="DL217" s="58"/>
      <c r="DM217" s="58"/>
      <c r="DN217" s="58"/>
      <c r="DO217" s="58"/>
      <c r="DP217" s="82"/>
      <c r="DQ217" s="45"/>
      <c r="DR217" s="58"/>
      <c r="DS217" s="58"/>
      <c r="DT217" s="58"/>
      <c r="DU217" s="55"/>
      <c r="DV217" s="105"/>
      <c r="DW217" s="58"/>
      <c r="DX217" s="53"/>
      <c r="DY217" s="58"/>
      <c r="DZ217" s="63"/>
    </row>
    <row r="218" spans="1:130" s="5" customFormat="1" ht="14.25" customHeight="1">
      <c r="A218" s="45">
        <v>1279</v>
      </c>
      <c r="B218" s="46" t="s">
        <v>210</v>
      </c>
      <c r="C218" s="46">
        <v>1997</v>
      </c>
      <c r="D218" s="46" t="s">
        <v>227</v>
      </c>
      <c r="E218" s="46" t="s">
        <v>22</v>
      </c>
      <c r="F218" s="46">
        <v>4</v>
      </c>
      <c r="G218" s="48">
        <v>200000</v>
      </c>
      <c r="H218" s="46" t="s">
        <v>249</v>
      </c>
      <c r="I218" s="46">
        <v>1</v>
      </c>
      <c r="J218" s="46">
        <v>1</v>
      </c>
      <c r="K218" s="49" t="s">
        <v>285</v>
      </c>
      <c r="L218" s="49" t="s">
        <v>40</v>
      </c>
      <c r="M218" s="49" t="s">
        <v>35</v>
      </c>
      <c r="N218" s="49" t="s">
        <v>513</v>
      </c>
      <c r="O218" s="49"/>
      <c r="P218" s="49" t="s">
        <v>174</v>
      </c>
      <c r="Q218" s="49" t="s">
        <v>29</v>
      </c>
      <c r="R218" s="49">
        <v>1</v>
      </c>
      <c r="S218" s="50">
        <f t="shared" si="108"/>
        <v>100</v>
      </c>
      <c r="T218" s="46" t="str">
        <f>LEFT(V218,2)</f>
        <v>0</v>
      </c>
      <c r="U218" s="50">
        <f t="shared" si="109"/>
        <v>0</v>
      </c>
      <c r="V218" s="49">
        <v>0</v>
      </c>
      <c r="W218" s="49">
        <v>0</v>
      </c>
      <c r="X218" s="50">
        <f t="shared" si="110"/>
        <v>0</v>
      </c>
      <c r="Y218" s="51" t="str">
        <f t="shared" si="111"/>
        <v>No</v>
      </c>
      <c r="Z218" s="49" t="s">
        <v>29</v>
      </c>
      <c r="AA218" s="49" t="s">
        <v>29</v>
      </c>
      <c r="AB218" s="45" t="s">
        <v>35</v>
      </c>
      <c r="AC218" s="46" t="s">
        <v>284</v>
      </c>
      <c r="AD218" s="46" t="s">
        <v>27</v>
      </c>
      <c r="AE218" s="46" t="s">
        <v>228</v>
      </c>
      <c r="AF218" s="46" t="s">
        <v>29</v>
      </c>
      <c r="AG218" s="103"/>
      <c r="AH218" s="52">
        <v>72489</v>
      </c>
      <c r="AI218" s="52">
        <v>72489</v>
      </c>
      <c r="AJ218" s="102">
        <v>100</v>
      </c>
      <c r="AK218" s="104">
        <v>200</v>
      </c>
      <c r="AL218" s="102">
        <v>100</v>
      </c>
      <c r="AM218" s="102"/>
      <c r="AN218" s="53">
        <f t="shared" si="112"/>
        <v>200</v>
      </c>
      <c r="AO218" s="53" t="s">
        <v>23</v>
      </c>
      <c r="AP218" s="102"/>
      <c r="AQ218" s="102"/>
      <c r="AR218" s="102"/>
      <c r="AS218" s="102"/>
      <c r="AT218" s="102"/>
      <c r="AU218" s="102"/>
      <c r="AV218" s="102"/>
      <c r="AW218" s="102"/>
      <c r="AX218" s="102"/>
      <c r="AY218" s="102"/>
      <c r="AZ218" s="102"/>
      <c r="BA218" s="102"/>
      <c r="BB218" s="102"/>
      <c r="BC218" s="102"/>
      <c r="BD218" s="102"/>
      <c r="BE218" s="102"/>
      <c r="BF218" s="102"/>
      <c r="BG218" s="102"/>
      <c r="BH218" s="102"/>
      <c r="BI218" s="102"/>
      <c r="BJ218" s="102"/>
      <c r="BK218" s="102"/>
      <c r="BL218" s="102"/>
      <c r="BM218" s="102"/>
      <c r="BN218" s="102"/>
      <c r="BO218" s="102"/>
      <c r="BP218" s="102"/>
      <c r="BQ218" s="102"/>
      <c r="BR218" s="102"/>
      <c r="BS218" s="54" t="s">
        <v>23</v>
      </c>
      <c r="BT218" s="45" t="str">
        <f t="shared" si="102"/>
        <v>No</v>
      </c>
      <c r="BU218" s="45" t="str">
        <f t="shared" si="103"/>
        <v>No</v>
      </c>
      <c r="BV218" s="45" t="str">
        <f t="shared" si="104"/>
        <v>No</v>
      </c>
      <c r="BW218" s="55">
        <v>82.182984924938097</v>
      </c>
      <c r="BX218" s="55">
        <v>82.182984924938097</v>
      </c>
      <c r="BY218" s="55">
        <v>77.927984924938102</v>
      </c>
      <c r="BZ218" s="55">
        <f t="shared" si="114"/>
        <v>77.927984924938102</v>
      </c>
      <c r="CA218" s="45">
        <v>1996</v>
      </c>
      <c r="CB218" s="55" t="s">
        <v>23</v>
      </c>
      <c r="CC218" s="46" t="s">
        <v>266</v>
      </c>
      <c r="CD218" s="46" t="s">
        <v>267</v>
      </c>
      <c r="CE218" s="46" t="s">
        <v>783</v>
      </c>
      <c r="CF218" s="46">
        <v>2</v>
      </c>
      <c r="CG218" s="46" t="str">
        <f t="shared" si="113"/>
        <v>No</v>
      </c>
      <c r="CH218" s="46" t="s">
        <v>29</v>
      </c>
      <c r="CI218" s="56">
        <v>4000</v>
      </c>
      <c r="CJ218" s="46" t="s">
        <v>180</v>
      </c>
      <c r="CK218" s="79">
        <f>CI218*2</f>
        <v>8000</v>
      </c>
      <c r="CL218" s="49" t="s">
        <v>29</v>
      </c>
      <c r="CM218" s="50">
        <v>0</v>
      </c>
      <c r="CN218" s="50"/>
      <c r="CO218" s="50"/>
      <c r="CP218" s="46" t="s">
        <v>23</v>
      </c>
      <c r="CQ218" s="46" t="s">
        <v>23</v>
      </c>
      <c r="CR218" s="46">
        <v>11</v>
      </c>
      <c r="CS218" s="46" t="s">
        <v>855</v>
      </c>
      <c r="CT218" s="46" t="s">
        <v>53</v>
      </c>
      <c r="CU218" s="46" t="s">
        <v>213</v>
      </c>
      <c r="CV218" s="46">
        <v>2</v>
      </c>
      <c r="CW218" s="46" t="s">
        <v>23</v>
      </c>
      <c r="CX218" s="49" t="s">
        <v>921</v>
      </c>
      <c r="CY218" s="49" t="s">
        <v>913</v>
      </c>
      <c r="CZ218" s="49">
        <v>0</v>
      </c>
      <c r="DA218" s="49">
        <v>1</v>
      </c>
      <c r="DB218" s="64"/>
      <c r="DC218" s="58"/>
      <c r="DD218" s="58"/>
      <c r="DE218" s="58"/>
      <c r="DF218" s="58"/>
      <c r="DG218" s="58"/>
      <c r="DH218" s="58"/>
      <c r="DI218" s="45"/>
      <c r="DJ218" s="59"/>
      <c r="DK218" s="65"/>
      <c r="DL218" s="58"/>
      <c r="DM218" s="58"/>
      <c r="DN218" s="58"/>
      <c r="DO218" s="58"/>
      <c r="DP218" s="82"/>
      <c r="DQ218" s="45"/>
      <c r="DR218" s="58"/>
      <c r="DS218" s="58"/>
      <c r="DT218" s="58"/>
      <c r="DU218" s="55"/>
      <c r="DV218" s="105"/>
      <c r="DW218" s="58"/>
      <c r="DX218" s="53"/>
      <c r="DY218" s="58"/>
      <c r="DZ218" s="63"/>
    </row>
    <row r="219" spans="1:130" s="5" customFormat="1" ht="14.25" customHeight="1">
      <c r="A219" s="45">
        <v>1278</v>
      </c>
      <c r="B219" s="46" t="s">
        <v>210</v>
      </c>
      <c r="C219" s="46">
        <v>1997</v>
      </c>
      <c r="D219" s="46" t="s">
        <v>230</v>
      </c>
      <c r="E219" s="46" t="s">
        <v>22</v>
      </c>
      <c r="F219" s="46">
        <v>4</v>
      </c>
      <c r="G219" s="48">
        <v>155000</v>
      </c>
      <c r="H219" s="46" t="s">
        <v>249</v>
      </c>
      <c r="I219" s="46">
        <v>1</v>
      </c>
      <c r="J219" s="46">
        <v>3</v>
      </c>
      <c r="K219" s="49" t="s">
        <v>272</v>
      </c>
      <c r="L219" s="49" t="s">
        <v>40</v>
      </c>
      <c r="M219" s="49" t="s">
        <v>35</v>
      </c>
      <c r="N219" s="49" t="s">
        <v>512</v>
      </c>
      <c r="O219" s="49"/>
      <c r="P219" s="49" t="s">
        <v>174</v>
      </c>
      <c r="Q219" s="49" t="s">
        <v>29</v>
      </c>
      <c r="R219" s="49">
        <v>2</v>
      </c>
      <c r="S219" s="50">
        <f t="shared" si="108"/>
        <v>66.666666666666657</v>
      </c>
      <c r="T219" s="46" t="str">
        <f>LEFT(V219,2)</f>
        <v xml:space="preserve">1 </v>
      </c>
      <c r="U219" s="50">
        <f t="shared" si="109"/>
        <v>33.333333333333329</v>
      </c>
      <c r="V219" s="49" t="s">
        <v>789</v>
      </c>
      <c r="W219" s="49">
        <v>1</v>
      </c>
      <c r="X219" s="50">
        <f t="shared" si="110"/>
        <v>33.333333333333329</v>
      </c>
      <c r="Y219" s="51" t="str">
        <f t="shared" si="111"/>
        <v>No</v>
      </c>
      <c r="Z219" s="49" t="s">
        <v>35</v>
      </c>
      <c r="AA219" s="49" t="s">
        <v>23</v>
      </c>
      <c r="AB219" s="49" t="s">
        <v>23</v>
      </c>
      <c r="AC219" s="46" t="s">
        <v>284</v>
      </c>
      <c r="AD219" s="46" t="s">
        <v>27</v>
      </c>
      <c r="AE219" s="46" t="s">
        <v>228</v>
      </c>
      <c r="AF219" s="46" t="s">
        <v>29</v>
      </c>
      <c r="AG219" s="103"/>
      <c r="AH219" s="52">
        <v>106097</v>
      </c>
      <c r="AI219" s="52">
        <v>106097</v>
      </c>
      <c r="AJ219" s="102">
        <v>57.88</v>
      </c>
      <c r="AK219" s="104">
        <v>115.76</v>
      </c>
      <c r="AL219" s="102">
        <v>57.88</v>
      </c>
      <c r="AM219" s="102"/>
      <c r="AN219" s="53">
        <f t="shared" si="112"/>
        <v>115.76</v>
      </c>
      <c r="AO219" s="53">
        <v>34</v>
      </c>
      <c r="AP219" s="102"/>
      <c r="AQ219" s="102"/>
      <c r="AR219" s="102"/>
      <c r="AS219" s="102"/>
      <c r="AT219" s="102"/>
      <c r="AU219" s="102"/>
      <c r="AV219" s="102"/>
      <c r="AW219" s="102"/>
      <c r="AX219" s="102"/>
      <c r="AY219" s="102"/>
      <c r="AZ219" s="102"/>
      <c r="BA219" s="102"/>
      <c r="BB219" s="102"/>
      <c r="BC219" s="102"/>
      <c r="BD219" s="102"/>
      <c r="BE219" s="102"/>
      <c r="BF219" s="102"/>
      <c r="BG219" s="102"/>
      <c r="BH219" s="102"/>
      <c r="BI219" s="102"/>
      <c r="BJ219" s="102"/>
      <c r="BK219" s="102"/>
      <c r="BL219" s="102"/>
      <c r="BM219" s="102"/>
      <c r="BN219" s="102"/>
      <c r="BO219" s="102"/>
      <c r="BP219" s="102"/>
      <c r="BQ219" s="102"/>
      <c r="BR219" s="102"/>
      <c r="BS219" s="54" t="s">
        <v>29</v>
      </c>
      <c r="BT219" s="45" t="str">
        <f t="shared" si="102"/>
        <v>Yes</v>
      </c>
      <c r="BU219" s="45" t="str">
        <f t="shared" si="103"/>
        <v>No</v>
      </c>
      <c r="BV219" s="45" t="str">
        <f t="shared" si="104"/>
        <v>No</v>
      </c>
      <c r="BW219" s="55">
        <v>82.182984924938097</v>
      </c>
      <c r="BX219" s="55">
        <v>82.182984924938097</v>
      </c>
      <c r="BY219" s="55">
        <v>77.927984924938102</v>
      </c>
      <c r="BZ219" s="55">
        <f t="shared" si="114"/>
        <v>77.927984924938102</v>
      </c>
      <c r="CA219" s="45">
        <v>1996</v>
      </c>
      <c r="CB219" s="55" t="s">
        <v>23</v>
      </c>
      <c r="CC219" s="46" t="s">
        <v>266</v>
      </c>
      <c r="CD219" s="46" t="s">
        <v>267</v>
      </c>
      <c r="CE219" s="46" t="s">
        <v>783</v>
      </c>
      <c r="CF219" s="46">
        <v>2</v>
      </c>
      <c r="CG219" s="46" t="str">
        <f t="shared" si="113"/>
        <v>No</v>
      </c>
      <c r="CH219" s="46" t="s">
        <v>29</v>
      </c>
      <c r="CI219" s="56">
        <v>3100</v>
      </c>
      <c r="CJ219" s="46" t="s">
        <v>180</v>
      </c>
      <c r="CK219" s="79">
        <f>CI219*2</f>
        <v>6200</v>
      </c>
      <c r="CL219" s="49" t="s">
        <v>29</v>
      </c>
      <c r="CM219" s="50">
        <v>0</v>
      </c>
      <c r="CN219" s="50"/>
      <c r="CO219" s="50"/>
      <c r="CP219" s="46" t="s">
        <v>23</v>
      </c>
      <c r="CQ219" s="46" t="s">
        <v>23</v>
      </c>
      <c r="CR219" s="46">
        <v>11</v>
      </c>
      <c r="CS219" s="46" t="s">
        <v>855</v>
      </c>
      <c r="CT219" s="46" t="s">
        <v>53</v>
      </c>
      <c r="CU219" s="46" t="s">
        <v>213</v>
      </c>
      <c r="CV219" s="46">
        <v>2</v>
      </c>
      <c r="CW219" s="46" t="s">
        <v>23</v>
      </c>
      <c r="CX219" s="49" t="s">
        <v>921</v>
      </c>
      <c r="CY219" s="49" t="s">
        <v>913</v>
      </c>
      <c r="CZ219" s="49">
        <v>0</v>
      </c>
      <c r="DA219" s="49">
        <v>1</v>
      </c>
      <c r="DB219" s="64"/>
      <c r="DC219" s="58"/>
      <c r="DD219" s="58"/>
      <c r="DE219" s="58"/>
      <c r="DF219" s="58"/>
      <c r="DG219" s="58"/>
      <c r="DH219" s="58"/>
      <c r="DI219" s="45"/>
      <c r="DJ219" s="59"/>
      <c r="DK219" s="65"/>
      <c r="DL219" s="58"/>
      <c r="DM219" s="58"/>
      <c r="DN219" s="58"/>
      <c r="DO219" s="58"/>
      <c r="DP219" s="82"/>
      <c r="DQ219" s="45"/>
      <c r="DR219" s="58"/>
      <c r="DS219" s="58"/>
      <c r="DT219" s="58"/>
      <c r="DU219" s="55"/>
      <c r="DV219" s="105"/>
      <c r="DW219" s="58"/>
      <c r="DX219" s="53"/>
      <c r="DY219" s="58"/>
      <c r="DZ219" s="63"/>
    </row>
    <row r="220" spans="1:130" s="5" customFormat="1" ht="14.25" customHeight="1">
      <c r="A220" s="45">
        <v>1271</v>
      </c>
      <c r="B220" s="46" t="s">
        <v>210</v>
      </c>
      <c r="C220" s="46">
        <v>1998</v>
      </c>
      <c r="D220" s="46" t="s">
        <v>219</v>
      </c>
      <c r="E220" s="46" t="s">
        <v>22</v>
      </c>
      <c r="F220" s="46">
        <v>2</v>
      </c>
      <c r="G220" s="48">
        <v>108000</v>
      </c>
      <c r="H220" s="46" t="s">
        <v>249</v>
      </c>
      <c r="I220" s="46">
        <v>5</v>
      </c>
      <c r="J220" s="46">
        <v>17</v>
      </c>
      <c r="K220" s="49" t="s">
        <v>280</v>
      </c>
      <c r="L220" s="49" t="s">
        <v>30</v>
      </c>
      <c r="M220" s="49" t="s">
        <v>29</v>
      </c>
      <c r="N220" s="49" t="s">
        <v>513</v>
      </c>
      <c r="O220" s="49"/>
      <c r="P220" s="49" t="s">
        <v>201</v>
      </c>
      <c r="Q220" s="49" t="s">
        <v>35</v>
      </c>
      <c r="R220" s="49">
        <v>5</v>
      </c>
      <c r="S220" s="50">
        <f t="shared" si="108"/>
        <v>29.411764705882355</v>
      </c>
      <c r="T220" s="49">
        <v>6</v>
      </c>
      <c r="U220" s="50">
        <f t="shared" si="109"/>
        <v>35.294117647058826</v>
      </c>
      <c r="V220" s="47" t="s">
        <v>894</v>
      </c>
      <c r="W220" s="49">
        <v>2</v>
      </c>
      <c r="X220" s="50">
        <f t="shared" si="110"/>
        <v>11.76470588235294</v>
      </c>
      <c r="Y220" s="51" t="str">
        <f t="shared" si="111"/>
        <v>No</v>
      </c>
      <c r="Z220" s="49" t="s">
        <v>29</v>
      </c>
      <c r="AA220" s="49" t="s">
        <v>35</v>
      </c>
      <c r="AB220" s="49" t="s">
        <v>29</v>
      </c>
      <c r="AC220" s="46" t="s">
        <v>26</v>
      </c>
      <c r="AD220" s="46" t="s">
        <v>27</v>
      </c>
      <c r="AE220" s="46" t="s">
        <v>73</v>
      </c>
      <c r="AF220" s="46" t="s">
        <v>29</v>
      </c>
      <c r="AG220" s="103"/>
      <c r="AH220" s="52">
        <v>801490</v>
      </c>
      <c r="AI220" s="52">
        <v>801490</v>
      </c>
      <c r="AJ220" s="102">
        <v>8.43</v>
      </c>
      <c r="AK220" s="104">
        <v>50.58</v>
      </c>
      <c r="AL220" s="102">
        <v>8.43</v>
      </c>
      <c r="AM220" s="102"/>
      <c r="AN220" s="53">
        <f t="shared" si="112"/>
        <v>50.58</v>
      </c>
      <c r="AO220" s="53">
        <v>7.35</v>
      </c>
      <c r="AP220" s="102"/>
      <c r="AQ220" s="102"/>
      <c r="AR220" s="102"/>
      <c r="AS220" s="102"/>
      <c r="AT220" s="102"/>
      <c r="AU220" s="102"/>
      <c r="AV220" s="102"/>
      <c r="AW220" s="102"/>
      <c r="AX220" s="102"/>
      <c r="AY220" s="102"/>
      <c r="AZ220" s="102"/>
      <c r="BA220" s="102"/>
      <c r="BB220" s="102"/>
      <c r="BC220" s="102"/>
      <c r="BD220" s="102"/>
      <c r="BE220" s="102"/>
      <c r="BF220" s="102"/>
      <c r="BG220" s="102"/>
      <c r="BH220" s="102"/>
      <c r="BI220" s="102"/>
      <c r="BJ220" s="102"/>
      <c r="BK220" s="102"/>
      <c r="BL220" s="102"/>
      <c r="BM220" s="102"/>
      <c r="BN220" s="102"/>
      <c r="BO220" s="102"/>
      <c r="BP220" s="102"/>
      <c r="BQ220" s="102"/>
      <c r="BR220" s="102"/>
      <c r="BS220" s="54" t="s">
        <v>23</v>
      </c>
      <c r="BT220" s="45" t="str">
        <f t="shared" si="102"/>
        <v>Yes</v>
      </c>
      <c r="BU220" s="45" t="str">
        <f t="shared" si="103"/>
        <v>Yes</v>
      </c>
      <c r="BV220" s="45" t="str">
        <f t="shared" si="104"/>
        <v>No</v>
      </c>
      <c r="BW220" s="55">
        <v>82.182984924938097</v>
      </c>
      <c r="BX220" s="55">
        <v>82.182984924938097</v>
      </c>
      <c r="BY220" s="55">
        <v>77.927984924938102</v>
      </c>
      <c r="BZ220" s="55">
        <f t="shared" si="114"/>
        <v>77.927984924938102</v>
      </c>
      <c r="CA220" s="45">
        <v>1996</v>
      </c>
      <c r="CB220" s="55">
        <v>28.909937295159754</v>
      </c>
      <c r="CC220" s="46" t="s">
        <v>178</v>
      </c>
      <c r="CD220" s="46" t="s">
        <v>179</v>
      </c>
      <c r="CE220" s="46" t="s">
        <v>179</v>
      </c>
      <c r="CF220" s="46">
        <v>1</v>
      </c>
      <c r="CG220" s="46" t="str">
        <f t="shared" si="113"/>
        <v>No</v>
      </c>
      <c r="CH220" s="46" t="s">
        <v>35</v>
      </c>
      <c r="CI220" s="56">
        <v>500</v>
      </c>
      <c r="CJ220" s="46" t="s">
        <v>180</v>
      </c>
      <c r="CK220" s="79">
        <v>1000</v>
      </c>
      <c r="CL220" s="49" t="s">
        <v>29</v>
      </c>
      <c r="CM220" s="50">
        <v>0</v>
      </c>
      <c r="CN220" s="50"/>
      <c r="CO220" s="50"/>
      <c r="CP220" s="46" t="s">
        <v>23</v>
      </c>
      <c r="CQ220" s="46" t="s">
        <v>24</v>
      </c>
      <c r="CR220" s="46">
        <v>11</v>
      </c>
      <c r="CS220" s="46" t="s">
        <v>855</v>
      </c>
      <c r="CT220" s="46" t="s">
        <v>53</v>
      </c>
      <c r="CU220" s="46" t="s">
        <v>213</v>
      </c>
      <c r="CV220" s="46">
        <v>2</v>
      </c>
      <c r="CW220" s="46" t="s">
        <v>23</v>
      </c>
      <c r="CX220" s="49" t="s">
        <v>921</v>
      </c>
      <c r="CY220" s="49" t="s">
        <v>913</v>
      </c>
      <c r="CZ220" s="49">
        <v>0</v>
      </c>
      <c r="DA220" s="49">
        <v>1</v>
      </c>
      <c r="DB220" s="64">
        <v>554473.70349999995</v>
      </c>
      <c r="DC220" s="58">
        <v>52.285740724943139</v>
      </c>
      <c r="DD220" s="58">
        <v>7.8023668619300004</v>
      </c>
      <c r="DE220" s="58">
        <v>9.3753085442761694</v>
      </c>
      <c r="DF220" s="58">
        <v>26.8458453593733</v>
      </c>
      <c r="DG220" s="58">
        <v>3.690738509477387</v>
      </c>
      <c r="DH220" s="58">
        <v>47.714259275056861</v>
      </c>
      <c r="DI220" s="45" t="s">
        <v>29</v>
      </c>
      <c r="DJ220" s="59" t="str">
        <f t="shared" ref="DJ220:DJ251" si="115">IF(DH220&lt;50,"N/A",IF(DD220&gt;50,"African American",IF(DE220&gt;50,"Latino",IF(DF220&gt;50,"Asian","No single majority group"))))</f>
        <v>N/A</v>
      </c>
      <c r="DK220" s="65">
        <v>554473.70349999995</v>
      </c>
      <c r="DL220" s="58">
        <v>52.285740724943139</v>
      </c>
      <c r="DM220" s="58">
        <v>7.8023668619300004</v>
      </c>
      <c r="DN220" s="58">
        <v>9.3753085442761694</v>
      </c>
      <c r="DO220" s="58">
        <v>47.714259275056861</v>
      </c>
      <c r="DP220" s="82">
        <v>49.2</v>
      </c>
      <c r="DQ220" s="83">
        <v>75916.37</v>
      </c>
      <c r="DR220" s="58">
        <v>11.3</v>
      </c>
      <c r="DS220" s="58">
        <v>75.3</v>
      </c>
      <c r="DT220" s="53">
        <v>35</v>
      </c>
      <c r="DU220" s="55">
        <v>2.2999999999999998</v>
      </c>
      <c r="DV220" s="105">
        <v>36.5</v>
      </c>
      <c r="DW220" s="58">
        <v>81.2</v>
      </c>
      <c r="DX220" s="53">
        <v>79.629300000000001</v>
      </c>
      <c r="DY220" s="53">
        <v>35.761299999999999</v>
      </c>
      <c r="DZ220" s="78" t="s">
        <v>939</v>
      </c>
    </row>
    <row r="221" spans="1:130" s="5" customFormat="1" ht="14.25" customHeight="1">
      <c r="A221" s="45">
        <v>1272</v>
      </c>
      <c r="B221" s="46" t="s">
        <v>210</v>
      </c>
      <c r="C221" s="46">
        <v>1998</v>
      </c>
      <c r="D221" s="46" t="s">
        <v>219</v>
      </c>
      <c r="E221" s="46" t="s">
        <v>22</v>
      </c>
      <c r="F221" s="46">
        <v>2</v>
      </c>
      <c r="G221" s="48">
        <v>108000</v>
      </c>
      <c r="H221" s="46" t="s">
        <v>249</v>
      </c>
      <c r="I221" s="46">
        <v>5</v>
      </c>
      <c r="J221" s="46">
        <v>17</v>
      </c>
      <c r="K221" s="49" t="s">
        <v>277</v>
      </c>
      <c r="L221" s="49" t="s">
        <v>30</v>
      </c>
      <c r="M221" s="49" t="s">
        <v>29</v>
      </c>
      <c r="N221" s="49" t="s">
        <v>513</v>
      </c>
      <c r="O221" s="49"/>
      <c r="P221" s="49" t="s">
        <v>174</v>
      </c>
      <c r="Q221" s="49" t="s">
        <v>29</v>
      </c>
      <c r="R221" s="49">
        <v>5</v>
      </c>
      <c r="S221" s="50">
        <f t="shared" si="108"/>
        <v>29.411764705882355</v>
      </c>
      <c r="T221" s="49">
        <v>6</v>
      </c>
      <c r="U221" s="50">
        <f t="shared" si="109"/>
        <v>35.294117647058826</v>
      </c>
      <c r="V221" s="47" t="s">
        <v>894</v>
      </c>
      <c r="W221" s="49">
        <v>2</v>
      </c>
      <c r="X221" s="50">
        <f t="shared" si="110"/>
        <v>11.76470588235294</v>
      </c>
      <c r="Y221" s="51" t="str">
        <f t="shared" si="111"/>
        <v>No</v>
      </c>
      <c r="Z221" s="49" t="s">
        <v>29</v>
      </c>
      <c r="AA221" s="49" t="s">
        <v>29</v>
      </c>
      <c r="AB221" s="49" t="s">
        <v>29</v>
      </c>
      <c r="AC221" s="46" t="s">
        <v>26</v>
      </c>
      <c r="AD221" s="46" t="s">
        <v>27</v>
      </c>
      <c r="AE221" s="46" t="s">
        <v>73</v>
      </c>
      <c r="AF221" s="46" t="s">
        <v>29</v>
      </c>
      <c r="AG221" s="103"/>
      <c r="AH221" s="52">
        <v>801490</v>
      </c>
      <c r="AI221" s="52">
        <v>801490</v>
      </c>
      <c r="AJ221" s="102">
        <v>10.29</v>
      </c>
      <c r="AK221" s="104">
        <v>61.739999999999995</v>
      </c>
      <c r="AL221" s="102">
        <v>10.29</v>
      </c>
      <c r="AM221" s="102"/>
      <c r="AN221" s="53">
        <f t="shared" si="112"/>
        <v>61.739999999999995</v>
      </c>
      <c r="AO221" s="53">
        <v>7.35</v>
      </c>
      <c r="AP221" s="102"/>
      <c r="AQ221" s="102"/>
      <c r="AR221" s="102"/>
      <c r="AS221" s="102"/>
      <c r="AT221" s="102"/>
      <c r="AU221" s="102"/>
      <c r="AV221" s="102"/>
      <c r="AW221" s="102"/>
      <c r="AX221" s="102"/>
      <c r="AY221" s="102"/>
      <c r="AZ221" s="102"/>
      <c r="BA221" s="102"/>
      <c r="BB221" s="102"/>
      <c r="BC221" s="102"/>
      <c r="BD221" s="102"/>
      <c r="BE221" s="102"/>
      <c r="BF221" s="102"/>
      <c r="BG221" s="102"/>
      <c r="BH221" s="102"/>
      <c r="BI221" s="102"/>
      <c r="BJ221" s="102"/>
      <c r="BK221" s="102"/>
      <c r="BL221" s="102"/>
      <c r="BM221" s="102"/>
      <c r="BN221" s="102"/>
      <c r="BO221" s="102"/>
      <c r="BP221" s="102"/>
      <c r="BQ221" s="102"/>
      <c r="BR221" s="102"/>
      <c r="BS221" s="54" t="s">
        <v>23</v>
      </c>
      <c r="BT221" s="45" t="str">
        <f t="shared" si="102"/>
        <v>Yes</v>
      </c>
      <c r="BU221" s="45" t="str">
        <f t="shared" si="103"/>
        <v>Yes</v>
      </c>
      <c r="BV221" s="45" t="str">
        <f t="shared" si="104"/>
        <v>No</v>
      </c>
      <c r="BW221" s="55">
        <v>82.182984924938097</v>
      </c>
      <c r="BX221" s="55">
        <v>82.182984924938097</v>
      </c>
      <c r="BY221" s="55">
        <v>77.927984924938102</v>
      </c>
      <c r="BZ221" s="55">
        <f t="shared" si="114"/>
        <v>77.927984924938102</v>
      </c>
      <c r="CA221" s="45">
        <v>1996</v>
      </c>
      <c r="CB221" s="55">
        <v>28.909937295159754</v>
      </c>
      <c r="CC221" s="46" t="s">
        <v>178</v>
      </c>
      <c r="CD221" s="46" t="s">
        <v>179</v>
      </c>
      <c r="CE221" s="46" t="s">
        <v>179</v>
      </c>
      <c r="CF221" s="46">
        <v>1</v>
      </c>
      <c r="CG221" s="46" t="str">
        <f t="shared" si="113"/>
        <v>No</v>
      </c>
      <c r="CH221" s="46" t="s">
        <v>35</v>
      </c>
      <c r="CI221" s="56">
        <v>500</v>
      </c>
      <c r="CJ221" s="46" t="s">
        <v>180</v>
      </c>
      <c r="CK221" s="79">
        <v>1000</v>
      </c>
      <c r="CL221" s="49" t="s">
        <v>29</v>
      </c>
      <c r="CM221" s="50">
        <v>0</v>
      </c>
      <c r="CN221" s="50"/>
      <c r="CO221" s="50"/>
      <c r="CP221" s="46" t="s">
        <v>23</v>
      </c>
      <c r="CQ221" s="46" t="s">
        <v>24</v>
      </c>
      <c r="CR221" s="46">
        <v>11</v>
      </c>
      <c r="CS221" s="46" t="s">
        <v>855</v>
      </c>
      <c r="CT221" s="46" t="s">
        <v>53</v>
      </c>
      <c r="CU221" s="46" t="s">
        <v>213</v>
      </c>
      <c r="CV221" s="46">
        <v>2</v>
      </c>
      <c r="CW221" s="46" t="s">
        <v>23</v>
      </c>
      <c r="CX221" s="49" t="s">
        <v>921</v>
      </c>
      <c r="CY221" s="49" t="s">
        <v>913</v>
      </c>
      <c r="CZ221" s="49">
        <v>0</v>
      </c>
      <c r="DA221" s="49">
        <v>1</v>
      </c>
      <c r="DB221" s="64">
        <v>554473.70349999995</v>
      </c>
      <c r="DC221" s="58">
        <v>52.285740724943139</v>
      </c>
      <c r="DD221" s="58">
        <v>7.8023668619300004</v>
      </c>
      <c r="DE221" s="58">
        <v>9.3753085442761694</v>
      </c>
      <c r="DF221" s="58">
        <v>26.8458453593733</v>
      </c>
      <c r="DG221" s="58">
        <v>3.690738509477387</v>
      </c>
      <c r="DH221" s="58">
        <v>47.714259275056861</v>
      </c>
      <c r="DI221" s="45" t="s">
        <v>29</v>
      </c>
      <c r="DJ221" s="59" t="str">
        <f t="shared" si="115"/>
        <v>N/A</v>
      </c>
      <c r="DK221" s="65">
        <v>554473.70349999995</v>
      </c>
      <c r="DL221" s="58">
        <v>52.285740724943139</v>
      </c>
      <c r="DM221" s="58">
        <v>7.8023668619300004</v>
      </c>
      <c r="DN221" s="58">
        <v>9.3753085442761694</v>
      </c>
      <c r="DO221" s="58">
        <v>47.714259275056861</v>
      </c>
      <c r="DP221" s="82">
        <v>49.2</v>
      </c>
      <c r="DQ221" s="83">
        <v>75916.37</v>
      </c>
      <c r="DR221" s="58">
        <v>11.3</v>
      </c>
      <c r="DS221" s="58">
        <v>75.3</v>
      </c>
      <c r="DT221" s="53">
        <v>35</v>
      </c>
      <c r="DU221" s="55">
        <v>2.2999999999999998</v>
      </c>
      <c r="DV221" s="105">
        <v>36.5</v>
      </c>
      <c r="DW221" s="58">
        <v>81.2</v>
      </c>
      <c r="DX221" s="53">
        <v>79.629300000000001</v>
      </c>
      <c r="DY221" s="53">
        <v>35.761299999999999</v>
      </c>
      <c r="DZ221" s="78" t="s">
        <v>940</v>
      </c>
    </row>
    <row r="222" spans="1:130" s="5" customFormat="1" ht="14.25" customHeight="1">
      <c r="A222" s="45">
        <v>1273</v>
      </c>
      <c r="B222" s="46" t="s">
        <v>210</v>
      </c>
      <c r="C222" s="46">
        <v>1998</v>
      </c>
      <c r="D222" s="46" t="s">
        <v>219</v>
      </c>
      <c r="E222" s="46" t="s">
        <v>22</v>
      </c>
      <c r="F222" s="46">
        <v>2</v>
      </c>
      <c r="G222" s="48">
        <v>108000</v>
      </c>
      <c r="H222" s="46" t="s">
        <v>249</v>
      </c>
      <c r="I222" s="46">
        <v>5</v>
      </c>
      <c r="J222" s="46">
        <v>17</v>
      </c>
      <c r="K222" s="49" t="s">
        <v>269</v>
      </c>
      <c r="L222" s="49" t="s">
        <v>40</v>
      </c>
      <c r="M222" s="49" t="s">
        <v>35</v>
      </c>
      <c r="N222" s="49" t="s">
        <v>513</v>
      </c>
      <c r="O222" s="49"/>
      <c r="P222" s="49" t="s">
        <v>34</v>
      </c>
      <c r="Q222" s="49" t="s">
        <v>35</v>
      </c>
      <c r="R222" s="49">
        <v>5</v>
      </c>
      <c r="S222" s="50">
        <f t="shared" si="108"/>
        <v>29.411764705882355</v>
      </c>
      <c r="T222" s="49">
        <v>6</v>
      </c>
      <c r="U222" s="50">
        <f t="shared" si="109"/>
        <v>35.294117647058826</v>
      </c>
      <c r="V222" s="47" t="s">
        <v>894</v>
      </c>
      <c r="W222" s="49">
        <v>2</v>
      </c>
      <c r="X222" s="50">
        <f t="shared" si="110"/>
        <v>11.76470588235294</v>
      </c>
      <c r="Y222" s="51" t="str">
        <f t="shared" si="111"/>
        <v>Yes</v>
      </c>
      <c r="Z222" s="49" t="s">
        <v>29</v>
      </c>
      <c r="AA222" s="49" t="s">
        <v>35</v>
      </c>
      <c r="AB222" s="45" t="s">
        <v>35</v>
      </c>
      <c r="AC222" s="46" t="s">
        <v>26</v>
      </c>
      <c r="AD222" s="46" t="s">
        <v>27</v>
      </c>
      <c r="AE222" s="46" t="s">
        <v>73</v>
      </c>
      <c r="AF222" s="46" t="s">
        <v>29</v>
      </c>
      <c r="AG222" s="103"/>
      <c r="AH222" s="52">
        <v>801490</v>
      </c>
      <c r="AI222" s="52">
        <v>801490</v>
      </c>
      <c r="AJ222" s="102">
        <v>11.86</v>
      </c>
      <c r="AK222" s="104">
        <v>71.16</v>
      </c>
      <c r="AL222" s="102">
        <v>11.86</v>
      </c>
      <c r="AM222" s="102"/>
      <c r="AN222" s="53">
        <f t="shared" si="112"/>
        <v>71.16</v>
      </c>
      <c r="AO222" s="53">
        <v>7.35</v>
      </c>
      <c r="AP222" s="102"/>
      <c r="AQ222" s="102"/>
      <c r="AR222" s="102"/>
      <c r="AS222" s="102"/>
      <c r="AT222" s="102"/>
      <c r="AU222" s="102"/>
      <c r="AV222" s="102"/>
      <c r="AW222" s="102"/>
      <c r="AX222" s="102"/>
      <c r="AY222" s="102"/>
      <c r="AZ222" s="102"/>
      <c r="BA222" s="102"/>
      <c r="BB222" s="102"/>
      <c r="BC222" s="102"/>
      <c r="BD222" s="102"/>
      <c r="BE222" s="102"/>
      <c r="BF222" s="102"/>
      <c r="BG222" s="102"/>
      <c r="BH222" s="102"/>
      <c r="BI222" s="102"/>
      <c r="BJ222" s="102"/>
      <c r="BK222" s="102"/>
      <c r="BL222" s="102"/>
      <c r="BM222" s="102"/>
      <c r="BN222" s="102"/>
      <c r="BO222" s="102"/>
      <c r="BP222" s="102"/>
      <c r="BQ222" s="102"/>
      <c r="BR222" s="102"/>
      <c r="BS222" s="54" t="s">
        <v>23</v>
      </c>
      <c r="BT222" s="45" t="str">
        <f t="shared" si="102"/>
        <v>Yes</v>
      </c>
      <c r="BU222" s="45" t="str">
        <f t="shared" si="103"/>
        <v>No</v>
      </c>
      <c r="BV222" s="45" t="str">
        <f t="shared" si="104"/>
        <v>No</v>
      </c>
      <c r="BW222" s="55">
        <v>82.182984924938097</v>
      </c>
      <c r="BX222" s="55">
        <v>82.182984924938097</v>
      </c>
      <c r="BY222" s="55">
        <v>77.927984924938102</v>
      </c>
      <c r="BZ222" s="55">
        <f t="shared" si="114"/>
        <v>77.927984924938102</v>
      </c>
      <c r="CA222" s="45">
        <v>1996</v>
      </c>
      <c r="CB222" s="55">
        <v>28.909937295159754</v>
      </c>
      <c r="CC222" s="46" t="s">
        <v>178</v>
      </c>
      <c r="CD222" s="46" t="s">
        <v>179</v>
      </c>
      <c r="CE222" s="46" t="s">
        <v>179</v>
      </c>
      <c r="CF222" s="46">
        <v>1</v>
      </c>
      <c r="CG222" s="46" t="str">
        <f t="shared" si="113"/>
        <v>No</v>
      </c>
      <c r="CH222" s="46" t="s">
        <v>35</v>
      </c>
      <c r="CI222" s="56">
        <v>500</v>
      </c>
      <c r="CJ222" s="46" t="s">
        <v>180</v>
      </c>
      <c r="CK222" s="79">
        <v>1000</v>
      </c>
      <c r="CL222" s="49" t="s">
        <v>29</v>
      </c>
      <c r="CM222" s="50">
        <v>0</v>
      </c>
      <c r="CN222" s="50"/>
      <c r="CO222" s="50"/>
      <c r="CP222" s="46" t="s">
        <v>23</v>
      </c>
      <c r="CQ222" s="46" t="s">
        <v>24</v>
      </c>
      <c r="CR222" s="46">
        <v>11</v>
      </c>
      <c r="CS222" s="46" t="s">
        <v>855</v>
      </c>
      <c r="CT222" s="46" t="s">
        <v>53</v>
      </c>
      <c r="CU222" s="46" t="s">
        <v>213</v>
      </c>
      <c r="CV222" s="46">
        <v>2</v>
      </c>
      <c r="CW222" s="46" t="s">
        <v>23</v>
      </c>
      <c r="CX222" s="49" t="s">
        <v>921</v>
      </c>
      <c r="CY222" s="49" t="s">
        <v>913</v>
      </c>
      <c r="CZ222" s="49">
        <v>0</v>
      </c>
      <c r="DA222" s="49">
        <v>1</v>
      </c>
      <c r="DB222" s="64">
        <v>554473.70349999995</v>
      </c>
      <c r="DC222" s="58">
        <v>52.285740724943139</v>
      </c>
      <c r="DD222" s="58">
        <v>7.8023668619300004</v>
      </c>
      <c r="DE222" s="58">
        <v>9.3753085442761694</v>
      </c>
      <c r="DF222" s="58">
        <v>26.8458453593733</v>
      </c>
      <c r="DG222" s="58">
        <v>3.690738509477387</v>
      </c>
      <c r="DH222" s="58">
        <v>47.714259275056861</v>
      </c>
      <c r="DI222" s="45" t="s">
        <v>29</v>
      </c>
      <c r="DJ222" s="59" t="str">
        <f t="shared" si="115"/>
        <v>N/A</v>
      </c>
      <c r="DK222" s="65">
        <v>554473.70349999995</v>
      </c>
      <c r="DL222" s="58">
        <v>52.285740724943139</v>
      </c>
      <c r="DM222" s="58">
        <v>7.8023668619300004</v>
      </c>
      <c r="DN222" s="58">
        <v>9.3753085442761694</v>
      </c>
      <c r="DO222" s="58">
        <v>47.714259275056861</v>
      </c>
      <c r="DP222" s="82">
        <v>49.2</v>
      </c>
      <c r="DQ222" s="83">
        <v>75916.37</v>
      </c>
      <c r="DR222" s="58">
        <v>11.3</v>
      </c>
      <c r="DS222" s="58">
        <v>75.3</v>
      </c>
      <c r="DT222" s="53">
        <v>35</v>
      </c>
      <c r="DU222" s="55">
        <v>2.2999999999999998</v>
      </c>
      <c r="DV222" s="105">
        <v>36.5</v>
      </c>
      <c r="DW222" s="58">
        <v>81.2</v>
      </c>
      <c r="DX222" s="53">
        <v>79.629300000000001</v>
      </c>
      <c r="DY222" s="53">
        <v>35.761299999999999</v>
      </c>
      <c r="DZ222" s="63"/>
    </row>
    <row r="223" spans="1:130" s="5" customFormat="1" ht="14.25" customHeight="1">
      <c r="A223" s="45">
        <v>1274</v>
      </c>
      <c r="B223" s="46" t="s">
        <v>210</v>
      </c>
      <c r="C223" s="46">
        <v>1998</v>
      </c>
      <c r="D223" s="46" t="s">
        <v>219</v>
      </c>
      <c r="E223" s="46" t="s">
        <v>22</v>
      </c>
      <c r="F223" s="46">
        <v>2</v>
      </c>
      <c r="G223" s="48">
        <v>108000</v>
      </c>
      <c r="H223" s="46" t="s">
        <v>249</v>
      </c>
      <c r="I223" s="46">
        <v>5</v>
      </c>
      <c r="J223" s="46">
        <v>17</v>
      </c>
      <c r="K223" s="49" t="s">
        <v>252</v>
      </c>
      <c r="L223" s="49" t="s">
        <v>30</v>
      </c>
      <c r="M223" s="49" t="s">
        <v>29</v>
      </c>
      <c r="N223" s="49" t="s">
        <v>513</v>
      </c>
      <c r="O223" s="49"/>
      <c r="P223" s="49" t="s">
        <v>174</v>
      </c>
      <c r="Q223" s="49" t="s">
        <v>29</v>
      </c>
      <c r="R223" s="49">
        <v>5</v>
      </c>
      <c r="S223" s="50">
        <f t="shared" si="108"/>
        <v>29.411764705882355</v>
      </c>
      <c r="T223" s="49">
        <v>6</v>
      </c>
      <c r="U223" s="50">
        <f t="shared" si="109"/>
        <v>35.294117647058826</v>
      </c>
      <c r="V223" s="47" t="s">
        <v>894</v>
      </c>
      <c r="W223" s="49">
        <v>2</v>
      </c>
      <c r="X223" s="50">
        <f t="shared" si="110"/>
        <v>11.76470588235294</v>
      </c>
      <c r="Y223" s="51" t="str">
        <f t="shared" si="111"/>
        <v>No</v>
      </c>
      <c r="Z223" s="49" t="s">
        <v>29</v>
      </c>
      <c r="AA223" s="49" t="s">
        <v>29</v>
      </c>
      <c r="AB223" s="49" t="s">
        <v>29</v>
      </c>
      <c r="AC223" s="46" t="s">
        <v>26</v>
      </c>
      <c r="AD223" s="46" t="s">
        <v>27</v>
      </c>
      <c r="AE223" s="46" t="s">
        <v>73</v>
      </c>
      <c r="AF223" s="46" t="s">
        <v>29</v>
      </c>
      <c r="AG223" s="103"/>
      <c r="AH223" s="52">
        <v>801490</v>
      </c>
      <c r="AI223" s="52">
        <v>801490</v>
      </c>
      <c r="AJ223" s="102">
        <v>13.6</v>
      </c>
      <c r="AK223" s="104">
        <v>81.600000000000009</v>
      </c>
      <c r="AL223" s="102">
        <v>13.6</v>
      </c>
      <c r="AM223" s="102"/>
      <c r="AN223" s="53">
        <f t="shared" si="112"/>
        <v>81.600000000000009</v>
      </c>
      <c r="AO223" s="53">
        <v>7.35</v>
      </c>
      <c r="AP223" s="102"/>
      <c r="AQ223" s="102"/>
      <c r="AR223" s="102"/>
      <c r="AS223" s="102"/>
      <c r="AT223" s="102"/>
      <c r="AU223" s="102"/>
      <c r="AV223" s="102"/>
      <c r="AW223" s="102"/>
      <c r="AX223" s="102"/>
      <c r="AY223" s="102"/>
      <c r="AZ223" s="102"/>
      <c r="BA223" s="102"/>
      <c r="BB223" s="102"/>
      <c r="BC223" s="102"/>
      <c r="BD223" s="102"/>
      <c r="BE223" s="102"/>
      <c r="BF223" s="102"/>
      <c r="BG223" s="102"/>
      <c r="BH223" s="102"/>
      <c r="BI223" s="102"/>
      <c r="BJ223" s="102"/>
      <c r="BK223" s="102"/>
      <c r="BL223" s="102"/>
      <c r="BM223" s="102"/>
      <c r="BN223" s="102"/>
      <c r="BO223" s="102"/>
      <c r="BP223" s="102"/>
      <c r="BQ223" s="102"/>
      <c r="BR223" s="102"/>
      <c r="BS223" s="54" t="s">
        <v>23</v>
      </c>
      <c r="BT223" s="45" t="str">
        <f t="shared" si="102"/>
        <v>Yes</v>
      </c>
      <c r="BU223" s="45" t="str">
        <f t="shared" si="103"/>
        <v>No</v>
      </c>
      <c r="BV223" s="45" t="str">
        <f t="shared" si="104"/>
        <v>No</v>
      </c>
      <c r="BW223" s="55">
        <v>82.182984924938097</v>
      </c>
      <c r="BX223" s="55">
        <v>82.182984924938097</v>
      </c>
      <c r="BY223" s="55">
        <v>77.927984924938102</v>
      </c>
      <c r="BZ223" s="55">
        <f t="shared" si="114"/>
        <v>77.927984924938102</v>
      </c>
      <c r="CA223" s="45">
        <v>1996</v>
      </c>
      <c r="CB223" s="55">
        <v>28.909937295159754</v>
      </c>
      <c r="CC223" s="46" t="s">
        <v>178</v>
      </c>
      <c r="CD223" s="46" t="s">
        <v>179</v>
      </c>
      <c r="CE223" s="46" t="s">
        <v>179</v>
      </c>
      <c r="CF223" s="46">
        <v>1</v>
      </c>
      <c r="CG223" s="46" t="str">
        <f t="shared" si="113"/>
        <v>No</v>
      </c>
      <c r="CH223" s="46" t="s">
        <v>35</v>
      </c>
      <c r="CI223" s="56">
        <v>500</v>
      </c>
      <c r="CJ223" s="46" t="s">
        <v>180</v>
      </c>
      <c r="CK223" s="79">
        <v>1000</v>
      </c>
      <c r="CL223" s="49" t="s">
        <v>29</v>
      </c>
      <c r="CM223" s="50">
        <v>0</v>
      </c>
      <c r="CN223" s="50"/>
      <c r="CO223" s="50"/>
      <c r="CP223" s="46" t="s">
        <v>23</v>
      </c>
      <c r="CQ223" s="46" t="s">
        <v>24</v>
      </c>
      <c r="CR223" s="46">
        <v>11</v>
      </c>
      <c r="CS223" s="46" t="s">
        <v>855</v>
      </c>
      <c r="CT223" s="46" t="s">
        <v>53</v>
      </c>
      <c r="CU223" s="46" t="s">
        <v>213</v>
      </c>
      <c r="CV223" s="46">
        <v>2</v>
      </c>
      <c r="CW223" s="46" t="s">
        <v>23</v>
      </c>
      <c r="CX223" s="49" t="s">
        <v>921</v>
      </c>
      <c r="CY223" s="49" t="s">
        <v>913</v>
      </c>
      <c r="CZ223" s="49">
        <v>0</v>
      </c>
      <c r="DA223" s="49">
        <v>1</v>
      </c>
      <c r="DB223" s="64">
        <v>554473.70349999995</v>
      </c>
      <c r="DC223" s="58">
        <v>52.285740724943139</v>
      </c>
      <c r="DD223" s="58">
        <v>7.8023668619300004</v>
      </c>
      <c r="DE223" s="58">
        <v>9.3753085442761694</v>
      </c>
      <c r="DF223" s="58">
        <v>26.8458453593733</v>
      </c>
      <c r="DG223" s="58">
        <v>3.690738509477387</v>
      </c>
      <c r="DH223" s="58">
        <v>47.714259275056861</v>
      </c>
      <c r="DI223" s="45" t="s">
        <v>29</v>
      </c>
      <c r="DJ223" s="59" t="str">
        <f t="shared" si="115"/>
        <v>N/A</v>
      </c>
      <c r="DK223" s="65">
        <v>554473.70349999995</v>
      </c>
      <c r="DL223" s="58">
        <v>52.285740724943139</v>
      </c>
      <c r="DM223" s="58">
        <v>7.8023668619300004</v>
      </c>
      <c r="DN223" s="58">
        <v>9.3753085442761694</v>
      </c>
      <c r="DO223" s="58">
        <v>47.714259275056861</v>
      </c>
      <c r="DP223" s="82">
        <v>49.2</v>
      </c>
      <c r="DQ223" s="83">
        <v>75916.37</v>
      </c>
      <c r="DR223" s="58">
        <v>11.3</v>
      </c>
      <c r="DS223" s="58">
        <v>75.3</v>
      </c>
      <c r="DT223" s="53">
        <v>35</v>
      </c>
      <c r="DU223" s="55">
        <v>2.2999999999999998</v>
      </c>
      <c r="DV223" s="105">
        <v>36.5</v>
      </c>
      <c r="DW223" s="58">
        <v>81.2</v>
      </c>
      <c r="DX223" s="53">
        <v>79.629300000000001</v>
      </c>
      <c r="DY223" s="53">
        <v>35.761299999999999</v>
      </c>
      <c r="DZ223" s="78" t="s">
        <v>941</v>
      </c>
    </row>
    <row r="224" spans="1:130" s="5" customFormat="1" ht="14.25" customHeight="1">
      <c r="A224" s="45">
        <v>1275</v>
      </c>
      <c r="B224" s="46" t="s">
        <v>210</v>
      </c>
      <c r="C224" s="46">
        <v>1998</v>
      </c>
      <c r="D224" s="46" t="s">
        <v>219</v>
      </c>
      <c r="E224" s="46" t="s">
        <v>22</v>
      </c>
      <c r="F224" s="46">
        <v>2</v>
      </c>
      <c r="G224" s="48">
        <v>108000</v>
      </c>
      <c r="H224" s="46" t="s">
        <v>249</v>
      </c>
      <c r="I224" s="46">
        <v>5</v>
      </c>
      <c r="J224" s="46">
        <v>17</v>
      </c>
      <c r="K224" s="49" t="s">
        <v>264</v>
      </c>
      <c r="L224" s="49" t="s">
        <v>30</v>
      </c>
      <c r="M224" s="49" t="s">
        <v>29</v>
      </c>
      <c r="N224" s="49"/>
      <c r="O224" s="49"/>
      <c r="P224" s="49" t="s">
        <v>174</v>
      </c>
      <c r="Q224" s="49" t="s">
        <v>29</v>
      </c>
      <c r="R224" s="49">
        <v>5</v>
      </c>
      <c r="S224" s="50">
        <f t="shared" si="108"/>
        <v>29.411764705882355</v>
      </c>
      <c r="T224" s="49">
        <v>6</v>
      </c>
      <c r="U224" s="50">
        <f t="shared" si="109"/>
        <v>35.294117647058826</v>
      </c>
      <c r="V224" s="47" t="s">
        <v>894</v>
      </c>
      <c r="W224" s="49">
        <v>2</v>
      </c>
      <c r="X224" s="50">
        <f t="shared" si="110"/>
        <v>11.76470588235294</v>
      </c>
      <c r="Y224" s="51" t="str">
        <f t="shared" si="111"/>
        <v>No</v>
      </c>
      <c r="Z224" s="49" t="s">
        <v>29</v>
      </c>
      <c r="AA224" s="49" t="s">
        <v>29</v>
      </c>
      <c r="AB224" s="49" t="s">
        <v>29</v>
      </c>
      <c r="AC224" s="46" t="s">
        <v>26</v>
      </c>
      <c r="AD224" s="46" t="s">
        <v>27</v>
      </c>
      <c r="AE224" s="46" t="s">
        <v>73</v>
      </c>
      <c r="AF224" s="46" t="s">
        <v>29</v>
      </c>
      <c r="AG224" s="103"/>
      <c r="AH224" s="52">
        <v>801490</v>
      </c>
      <c r="AI224" s="52">
        <v>801490</v>
      </c>
      <c r="AJ224" s="102">
        <v>15.01</v>
      </c>
      <c r="AK224" s="104">
        <v>90.06</v>
      </c>
      <c r="AL224" s="102">
        <v>15.01</v>
      </c>
      <c r="AM224" s="102"/>
      <c r="AN224" s="53">
        <f t="shared" si="112"/>
        <v>90.06</v>
      </c>
      <c r="AO224" s="53">
        <v>7.35</v>
      </c>
      <c r="AP224" s="102"/>
      <c r="AQ224" s="102"/>
      <c r="AR224" s="102"/>
      <c r="AS224" s="102"/>
      <c r="AT224" s="102"/>
      <c r="AU224" s="102"/>
      <c r="AV224" s="102"/>
      <c r="AW224" s="102"/>
      <c r="AX224" s="102"/>
      <c r="AY224" s="102"/>
      <c r="AZ224" s="102"/>
      <c r="BA224" s="102"/>
      <c r="BB224" s="102"/>
      <c r="BC224" s="102"/>
      <c r="BD224" s="102"/>
      <c r="BE224" s="102"/>
      <c r="BF224" s="102"/>
      <c r="BG224" s="102"/>
      <c r="BH224" s="102"/>
      <c r="BI224" s="102"/>
      <c r="BJ224" s="102"/>
      <c r="BK224" s="102"/>
      <c r="BL224" s="102"/>
      <c r="BM224" s="102"/>
      <c r="BN224" s="102"/>
      <c r="BO224" s="102"/>
      <c r="BP224" s="102"/>
      <c r="BQ224" s="102"/>
      <c r="BR224" s="102"/>
      <c r="BS224" s="54" t="s">
        <v>23</v>
      </c>
      <c r="BT224" s="45" t="str">
        <f t="shared" si="102"/>
        <v>No</v>
      </c>
      <c r="BU224" s="45" t="str">
        <f t="shared" si="103"/>
        <v>No</v>
      </c>
      <c r="BV224" s="45" t="str">
        <f t="shared" si="104"/>
        <v>No</v>
      </c>
      <c r="BW224" s="55">
        <v>82.182984924938097</v>
      </c>
      <c r="BX224" s="55">
        <v>82.182984924938097</v>
      </c>
      <c r="BY224" s="55">
        <v>77.927984924938102</v>
      </c>
      <c r="BZ224" s="55">
        <f t="shared" si="114"/>
        <v>77.927984924938102</v>
      </c>
      <c r="CA224" s="45">
        <v>1996</v>
      </c>
      <c r="CB224" s="55">
        <v>28.909937295159754</v>
      </c>
      <c r="CC224" s="46" t="s">
        <v>178</v>
      </c>
      <c r="CD224" s="46" t="s">
        <v>179</v>
      </c>
      <c r="CE224" s="46" t="s">
        <v>179</v>
      </c>
      <c r="CF224" s="46">
        <v>1</v>
      </c>
      <c r="CG224" s="46" t="str">
        <f t="shared" si="113"/>
        <v>No</v>
      </c>
      <c r="CH224" s="46" t="s">
        <v>35</v>
      </c>
      <c r="CI224" s="56">
        <v>500</v>
      </c>
      <c r="CJ224" s="46" t="s">
        <v>180</v>
      </c>
      <c r="CK224" s="79">
        <v>1000</v>
      </c>
      <c r="CL224" s="49" t="s">
        <v>29</v>
      </c>
      <c r="CM224" s="50">
        <v>0</v>
      </c>
      <c r="CN224" s="50"/>
      <c r="CO224" s="50"/>
      <c r="CP224" s="46" t="s">
        <v>23</v>
      </c>
      <c r="CQ224" s="46" t="s">
        <v>24</v>
      </c>
      <c r="CR224" s="46">
        <v>11</v>
      </c>
      <c r="CS224" s="46" t="s">
        <v>855</v>
      </c>
      <c r="CT224" s="46" t="s">
        <v>53</v>
      </c>
      <c r="CU224" s="46" t="s">
        <v>213</v>
      </c>
      <c r="CV224" s="46">
        <v>2</v>
      </c>
      <c r="CW224" s="46" t="s">
        <v>23</v>
      </c>
      <c r="CX224" s="49" t="s">
        <v>921</v>
      </c>
      <c r="CY224" s="49" t="s">
        <v>913</v>
      </c>
      <c r="CZ224" s="49">
        <v>0</v>
      </c>
      <c r="DA224" s="49">
        <v>1</v>
      </c>
      <c r="DB224" s="64">
        <v>554473.70349999995</v>
      </c>
      <c r="DC224" s="58">
        <v>52.285740724943139</v>
      </c>
      <c r="DD224" s="58">
        <v>7.8023668619300004</v>
      </c>
      <c r="DE224" s="58">
        <v>9.3753085442761694</v>
      </c>
      <c r="DF224" s="58">
        <v>26.8458453593733</v>
      </c>
      <c r="DG224" s="58">
        <v>3.690738509477387</v>
      </c>
      <c r="DH224" s="58">
        <v>47.714259275056861</v>
      </c>
      <c r="DI224" s="45" t="s">
        <v>29</v>
      </c>
      <c r="DJ224" s="59" t="str">
        <f t="shared" si="115"/>
        <v>N/A</v>
      </c>
      <c r="DK224" s="65">
        <v>554473.70349999995</v>
      </c>
      <c r="DL224" s="58">
        <v>52.285740724943139</v>
      </c>
      <c r="DM224" s="58">
        <v>7.8023668619300004</v>
      </c>
      <c r="DN224" s="58">
        <v>9.3753085442761694</v>
      </c>
      <c r="DO224" s="58">
        <v>47.714259275056861</v>
      </c>
      <c r="DP224" s="82">
        <v>49.2</v>
      </c>
      <c r="DQ224" s="83">
        <v>75916.37</v>
      </c>
      <c r="DR224" s="58">
        <v>11.3</v>
      </c>
      <c r="DS224" s="58">
        <v>75.3</v>
      </c>
      <c r="DT224" s="53">
        <v>35</v>
      </c>
      <c r="DU224" s="55">
        <v>2.2999999999999998</v>
      </c>
      <c r="DV224" s="105">
        <v>36.5</v>
      </c>
      <c r="DW224" s="58">
        <v>81.2</v>
      </c>
      <c r="DX224" s="53">
        <v>79.629300000000001</v>
      </c>
      <c r="DY224" s="53">
        <v>35.761299999999999</v>
      </c>
      <c r="DZ224" s="63"/>
    </row>
    <row r="225" spans="1:130" s="5" customFormat="1" ht="14.25" customHeight="1">
      <c r="A225" s="45">
        <v>1276</v>
      </c>
      <c r="B225" s="46" t="s">
        <v>210</v>
      </c>
      <c r="C225" s="46">
        <v>1998</v>
      </c>
      <c r="D225" s="46" t="s">
        <v>217</v>
      </c>
      <c r="E225" s="46" t="s">
        <v>22</v>
      </c>
      <c r="F225" s="46">
        <v>4</v>
      </c>
      <c r="G225" s="48">
        <v>190000</v>
      </c>
      <c r="H225" s="46" t="s">
        <v>249</v>
      </c>
      <c r="I225" s="46">
        <v>1</v>
      </c>
      <c r="J225" s="46">
        <v>1</v>
      </c>
      <c r="K225" s="49" t="s">
        <v>283</v>
      </c>
      <c r="L225" s="49" t="s">
        <v>30</v>
      </c>
      <c r="M225" s="49" t="s">
        <v>29</v>
      </c>
      <c r="N225" s="49" t="s">
        <v>513</v>
      </c>
      <c r="O225" s="49"/>
      <c r="P225" s="49" t="s">
        <v>174</v>
      </c>
      <c r="Q225" s="49" t="s">
        <v>29</v>
      </c>
      <c r="R225" s="49">
        <v>0</v>
      </c>
      <c r="S225" s="50">
        <f t="shared" si="108"/>
        <v>0</v>
      </c>
      <c r="T225" s="46" t="str">
        <f>LEFT(V225,2)</f>
        <v>0</v>
      </c>
      <c r="U225" s="50">
        <f t="shared" si="109"/>
        <v>0</v>
      </c>
      <c r="V225" s="49">
        <v>0</v>
      </c>
      <c r="W225" s="49">
        <v>0</v>
      </c>
      <c r="X225" s="50">
        <f t="shared" si="110"/>
        <v>0</v>
      </c>
      <c r="Y225" s="51" t="str">
        <f t="shared" si="111"/>
        <v>No</v>
      </c>
      <c r="Z225" s="49" t="s">
        <v>29</v>
      </c>
      <c r="AA225" s="49" t="s">
        <v>29</v>
      </c>
      <c r="AB225" s="49" t="s">
        <v>29</v>
      </c>
      <c r="AC225" s="46" t="s">
        <v>151</v>
      </c>
      <c r="AD225" s="46" t="s">
        <v>152</v>
      </c>
      <c r="AE225" s="46" t="s">
        <v>73</v>
      </c>
      <c r="AF225" s="46" t="s">
        <v>29</v>
      </c>
      <c r="AG225" s="103"/>
      <c r="AH225" s="52">
        <v>104272</v>
      </c>
      <c r="AI225" s="52">
        <v>104272</v>
      </c>
      <c r="AJ225" s="102">
        <v>100</v>
      </c>
      <c r="AK225" s="104">
        <v>200</v>
      </c>
      <c r="AL225" s="102">
        <v>100</v>
      </c>
      <c r="AM225" s="102"/>
      <c r="AN225" s="53">
        <f t="shared" si="112"/>
        <v>200</v>
      </c>
      <c r="AO225" s="53" t="s">
        <v>23</v>
      </c>
      <c r="AP225" s="102"/>
      <c r="AQ225" s="102"/>
      <c r="AR225" s="102"/>
      <c r="AS225" s="102"/>
      <c r="AT225" s="102"/>
      <c r="AU225" s="102"/>
      <c r="AV225" s="102"/>
      <c r="AW225" s="102"/>
      <c r="AX225" s="102"/>
      <c r="AY225" s="102"/>
      <c r="AZ225" s="102"/>
      <c r="BA225" s="102"/>
      <c r="BB225" s="102"/>
      <c r="BC225" s="102"/>
      <c r="BD225" s="102"/>
      <c r="BE225" s="102"/>
      <c r="BF225" s="102"/>
      <c r="BG225" s="102"/>
      <c r="BH225" s="102"/>
      <c r="BI225" s="102"/>
      <c r="BJ225" s="102"/>
      <c r="BK225" s="102"/>
      <c r="BL225" s="102"/>
      <c r="BM225" s="102"/>
      <c r="BN225" s="102"/>
      <c r="BO225" s="102"/>
      <c r="BP225" s="102"/>
      <c r="BQ225" s="102"/>
      <c r="BR225" s="102"/>
      <c r="BS225" s="54" t="s">
        <v>23</v>
      </c>
      <c r="BT225" s="45" t="str">
        <f t="shared" si="102"/>
        <v>No</v>
      </c>
      <c r="BU225" s="45" t="str">
        <f t="shared" si="103"/>
        <v>No</v>
      </c>
      <c r="BV225" s="45" t="str">
        <f t="shared" si="104"/>
        <v>No</v>
      </c>
      <c r="BW225" s="55">
        <v>82.182984924938097</v>
      </c>
      <c r="BX225" s="55">
        <v>82.182984924938097</v>
      </c>
      <c r="BY225" s="55">
        <v>77.927984924938102</v>
      </c>
      <c r="BZ225" s="55">
        <f t="shared" si="114"/>
        <v>77.927984924938102</v>
      </c>
      <c r="CA225" s="45">
        <v>1996</v>
      </c>
      <c r="CB225" s="55">
        <v>18.805580741125265</v>
      </c>
      <c r="CC225" s="46" t="s">
        <v>281</v>
      </c>
      <c r="CD225" s="46" t="s">
        <v>151</v>
      </c>
      <c r="CE225" s="46" t="s">
        <v>783</v>
      </c>
      <c r="CF225" s="46">
        <v>2</v>
      </c>
      <c r="CG225" s="46" t="str">
        <f t="shared" si="113"/>
        <v>Yes</v>
      </c>
      <c r="CH225" s="46" t="s">
        <v>29</v>
      </c>
      <c r="CI225" s="56">
        <v>3800</v>
      </c>
      <c r="CJ225" s="46" t="s">
        <v>180</v>
      </c>
      <c r="CK225" s="79">
        <f>CI225*2</f>
        <v>7600</v>
      </c>
      <c r="CL225" s="49" t="s">
        <v>29</v>
      </c>
      <c r="CM225" s="50">
        <v>0</v>
      </c>
      <c r="CN225" s="50"/>
      <c r="CO225" s="50"/>
      <c r="CP225" s="46" t="s">
        <v>23</v>
      </c>
      <c r="CQ225" s="46" t="s">
        <v>23</v>
      </c>
      <c r="CR225" s="46">
        <v>11</v>
      </c>
      <c r="CS225" s="46" t="s">
        <v>855</v>
      </c>
      <c r="CT225" s="46" t="s">
        <v>53</v>
      </c>
      <c r="CU225" s="46" t="s">
        <v>213</v>
      </c>
      <c r="CV225" s="46">
        <v>2</v>
      </c>
      <c r="CW225" s="46" t="s">
        <v>23</v>
      </c>
      <c r="CX225" s="49" t="s">
        <v>921</v>
      </c>
      <c r="CY225" s="49" t="s">
        <v>913</v>
      </c>
      <c r="CZ225" s="49">
        <v>0</v>
      </c>
      <c r="DA225" s="49">
        <v>1</v>
      </c>
      <c r="DB225" s="64">
        <v>554473.70349999995</v>
      </c>
      <c r="DC225" s="58">
        <v>52.285740724943139</v>
      </c>
      <c r="DD225" s="58">
        <v>7.8023668619300004</v>
      </c>
      <c r="DE225" s="58">
        <v>9.3753085442761694</v>
      </c>
      <c r="DF225" s="58">
        <v>26.8458453593733</v>
      </c>
      <c r="DG225" s="58">
        <v>3.690738509477387</v>
      </c>
      <c r="DH225" s="58">
        <v>47.714259275056861</v>
      </c>
      <c r="DI225" s="45" t="s">
        <v>29</v>
      </c>
      <c r="DJ225" s="59" t="str">
        <f t="shared" si="115"/>
        <v>N/A</v>
      </c>
      <c r="DK225" s="65">
        <v>554473.70349999995</v>
      </c>
      <c r="DL225" s="58">
        <v>52.285740724943139</v>
      </c>
      <c r="DM225" s="58">
        <v>7.8023668619300004</v>
      </c>
      <c r="DN225" s="58">
        <v>9.3753085442761694</v>
      </c>
      <c r="DO225" s="58">
        <v>47.714259275056861</v>
      </c>
      <c r="DP225" s="82">
        <v>49.2</v>
      </c>
      <c r="DQ225" s="83">
        <v>75916.37</v>
      </c>
      <c r="DR225" s="58">
        <v>11.3</v>
      </c>
      <c r="DS225" s="58">
        <v>75.3</v>
      </c>
      <c r="DT225" s="53">
        <v>35</v>
      </c>
      <c r="DU225" s="55">
        <v>2.2999999999999998</v>
      </c>
      <c r="DV225" s="105">
        <v>36.5</v>
      </c>
      <c r="DW225" s="58">
        <v>81.2</v>
      </c>
      <c r="DX225" s="53">
        <v>79.629300000000001</v>
      </c>
      <c r="DY225" s="53">
        <v>35.761299999999999</v>
      </c>
      <c r="DZ225" s="63"/>
    </row>
    <row r="226" spans="1:130" s="5" customFormat="1" ht="14.25" customHeight="1">
      <c r="A226" s="45">
        <v>1268</v>
      </c>
      <c r="B226" s="46" t="s">
        <v>210</v>
      </c>
      <c r="C226" s="46">
        <v>1999</v>
      </c>
      <c r="D226" s="46" t="s">
        <v>240</v>
      </c>
      <c r="E226" s="46" t="s">
        <v>22</v>
      </c>
      <c r="F226" s="46">
        <v>4</v>
      </c>
      <c r="G226" s="48">
        <v>200000</v>
      </c>
      <c r="H226" s="46" t="s">
        <v>249</v>
      </c>
      <c r="I226" s="46">
        <v>1</v>
      </c>
      <c r="J226" s="46">
        <v>5</v>
      </c>
      <c r="K226" s="49" t="s">
        <v>278</v>
      </c>
      <c r="L226" s="49" t="s">
        <v>30</v>
      </c>
      <c r="M226" s="49" t="s">
        <v>29</v>
      </c>
      <c r="N226" s="49" t="s">
        <v>513</v>
      </c>
      <c r="O226" s="49"/>
      <c r="P226" s="49" t="s">
        <v>174</v>
      </c>
      <c r="Q226" s="49" t="s">
        <v>29</v>
      </c>
      <c r="R226" s="49">
        <v>0</v>
      </c>
      <c r="S226" s="50">
        <f t="shared" si="108"/>
        <v>0</v>
      </c>
      <c r="T226" s="49">
        <v>2</v>
      </c>
      <c r="U226" s="50">
        <f t="shared" si="109"/>
        <v>40</v>
      </c>
      <c r="V226" s="81" t="s">
        <v>795</v>
      </c>
      <c r="W226" s="49">
        <v>0</v>
      </c>
      <c r="X226" s="50">
        <f t="shared" si="110"/>
        <v>0</v>
      </c>
      <c r="Y226" s="51" t="str">
        <f t="shared" si="111"/>
        <v>No</v>
      </c>
      <c r="Z226" s="49" t="s">
        <v>29</v>
      </c>
      <c r="AA226" s="49" t="s">
        <v>29</v>
      </c>
      <c r="AB226" s="49" t="s">
        <v>29</v>
      </c>
      <c r="AC226" s="46" t="s">
        <v>267</v>
      </c>
      <c r="AD226" s="46" t="s">
        <v>268</v>
      </c>
      <c r="AE226" s="46" t="s">
        <v>228</v>
      </c>
      <c r="AF226" s="46" t="s">
        <v>29</v>
      </c>
      <c r="AG226" s="119"/>
      <c r="AH226" s="52">
        <v>179013</v>
      </c>
      <c r="AI226" s="52">
        <v>208654</v>
      </c>
      <c r="AJ226" s="102">
        <v>38.22</v>
      </c>
      <c r="AK226" s="104">
        <v>76.44</v>
      </c>
      <c r="AL226" s="102">
        <v>50.44</v>
      </c>
      <c r="AM226" s="102"/>
      <c r="AN226" s="53">
        <f t="shared" si="112"/>
        <v>100.88</v>
      </c>
      <c r="AO226" s="53">
        <v>37.51</v>
      </c>
      <c r="AP226" s="102"/>
      <c r="AQ226" s="102"/>
      <c r="AR226" s="102"/>
      <c r="AS226" s="102"/>
      <c r="AT226" s="102"/>
      <c r="AU226" s="102"/>
      <c r="AV226" s="102"/>
      <c r="AW226" s="102"/>
      <c r="AX226" s="102"/>
      <c r="AY226" s="102"/>
      <c r="AZ226" s="102"/>
      <c r="BA226" s="102"/>
      <c r="BB226" s="102"/>
      <c r="BC226" s="102"/>
      <c r="BD226" s="102"/>
      <c r="BE226" s="102"/>
      <c r="BF226" s="102"/>
      <c r="BG226" s="102"/>
      <c r="BH226" s="102"/>
      <c r="BI226" s="102"/>
      <c r="BJ226" s="102"/>
      <c r="BK226" s="102"/>
      <c r="BL226" s="102"/>
      <c r="BM226" s="102"/>
      <c r="BN226" s="102">
        <v>38.22</v>
      </c>
      <c r="BO226" s="102">
        <f>AI226-AH226</f>
        <v>29641</v>
      </c>
      <c r="BP226" s="102">
        <f>BO226/AH226 *100</f>
        <v>16.558015339668071</v>
      </c>
      <c r="BQ226" s="102" t="str">
        <f>IF(AND((AH226*(BN226/100))&gt;(AI226*(AL226/100)),  AJ226 &lt;&gt;  BN226), "yes", "no")</f>
        <v>no</v>
      </c>
      <c r="BR226" s="102"/>
      <c r="BS226" s="54" t="s">
        <v>29</v>
      </c>
      <c r="BT226" s="45" t="str">
        <f t="shared" si="102"/>
        <v>Yes</v>
      </c>
      <c r="BU226" s="45" t="str">
        <f t="shared" si="103"/>
        <v>Yes</v>
      </c>
      <c r="BV226" s="45" t="str">
        <f t="shared" si="104"/>
        <v>Yes</v>
      </c>
      <c r="BW226" s="55">
        <v>82.426736731188996</v>
      </c>
      <c r="BX226" s="55">
        <v>82.426736731188996</v>
      </c>
      <c r="BY226" s="55">
        <v>82.171736731189</v>
      </c>
      <c r="BZ226" s="55">
        <f t="shared" ref="BZ226:BZ248" si="116">BX226-(0.0051*100/2)</f>
        <v>82.171736731189</v>
      </c>
      <c r="CA226" s="45">
        <v>2000</v>
      </c>
      <c r="CB226" s="55">
        <v>37.631000114688042</v>
      </c>
      <c r="CC226" s="71" t="s">
        <v>266</v>
      </c>
      <c r="CD226" s="46" t="s">
        <v>267</v>
      </c>
      <c r="CE226" s="71" t="s">
        <v>783</v>
      </c>
      <c r="CF226" s="71">
        <v>2</v>
      </c>
      <c r="CG226" s="46" t="str">
        <f t="shared" si="113"/>
        <v>No</v>
      </c>
      <c r="CH226" s="46" t="s">
        <v>29</v>
      </c>
      <c r="CI226" s="56">
        <v>4000</v>
      </c>
      <c r="CJ226" s="46" t="s">
        <v>180</v>
      </c>
      <c r="CK226" s="79">
        <f>CI226*2</f>
        <v>8000</v>
      </c>
      <c r="CL226" s="49" t="s">
        <v>29</v>
      </c>
      <c r="CM226" s="102">
        <v>0</v>
      </c>
      <c r="CN226" s="102"/>
      <c r="CO226" s="102"/>
      <c r="CP226" s="46" t="s">
        <v>23</v>
      </c>
      <c r="CQ226" s="46" t="s">
        <v>23</v>
      </c>
      <c r="CR226" s="46">
        <v>11</v>
      </c>
      <c r="CS226" s="46" t="s">
        <v>855</v>
      </c>
      <c r="CT226" s="46" t="s">
        <v>53</v>
      </c>
      <c r="CU226" s="46" t="s">
        <v>213</v>
      </c>
      <c r="CV226" s="46">
        <v>2</v>
      </c>
      <c r="CW226" s="46" t="s">
        <v>23</v>
      </c>
      <c r="CX226" s="49" t="s">
        <v>921</v>
      </c>
      <c r="CY226" s="49" t="s">
        <v>913</v>
      </c>
      <c r="CZ226" s="49">
        <v>0</v>
      </c>
      <c r="DA226" s="49">
        <v>1</v>
      </c>
      <c r="DB226" s="64">
        <v>554473.70349999995</v>
      </c>
      <c r="DC226" s="58">
        <v>52.285740724943139</v>
      </c>
      <c r="DD226" s="58">
        <v>7.8023668619300004</v>
      </c>
      <c r="DE226" s="58">
        <v>9.3753085442761694</v>
      </c>
      <c r="DF226" s="58">
        <v>26.8458453593733</v>
      </c>
      <c r="DG226" s="58">
        <v>3.690738509477387</v>
      </c>
      <c r="DH226" s="58">
        <v>47.714259275056861</v>
      </c>
      <c r="DI226" s="45" t="s">
        <v>29</v>
      </c>
      <c r="DJ226" s="59" t="str">
        <f t="shared" si="115"/>
        <v>N/A</v>
      </c>
      <c r="DK226" s="65">
        <v>554473.70349999995</v>
      </c>
      <c r="DL226" s="58">
        <v>52.285740724943139</v>
      </c>
      <c r="DM226" s="58">
        <v>7.8023668619300004</v>
      </c>
      <c r="DN226" s="58">
        <v>9.3753085442761694</v>
      </c>
      <c r="DO226" s="58">
        <v>47.714259275056861</v>
      </c>
      <c r="DP226" s="82">
        <v>49.2</v>
      </c>
      <c r="DQ226" s="83">
        <v>75916.37</v>
      </c>
      <c r="DR226" s="58">
        <v>11.3</v>
      </c>
      <c r="DS226" s="58">
        <v>75.3</v>
      </c>
      <c r="DT226" s="53">
        <v>35</v>
      </c>
      <c r="DU226" s="55">
        <v>2.2999999999999998</v>
      </c>
      <c r="DV226" s="105">
        <v>36.5</v>
      </c>
      <c r="DW226" s="58">
        <v>81.2</v>
      </c>
      <c r="DX226" s="53">
        <v>79.629300000000001</v>
      </c>
      <c r="DY226" s="53">
        <v>35.761299999999999</v>
      </c>
      <c r="DZ226" s="63"/>
    </row>
    <row r="227" spans="1:130" s="5" customFormat="1" ht="14.25" customHeight="1">
      <c r="A227" s="45">
        <v>1269</v>
      </c>
      <c r="B227" s="46" t="s">
        <v>210</v>
      </c>
      <c r="C227" s="46">
        <v>1999</v>
      </c>
      <c r="D227" s="46" t="s">
        <v>38</v>
      </c>
      <c r="E227" s="46" t="s">
        <v>22</v>
      </c>
      <c r="F227" s="46">
        <v>4</v>
      </c>
      <c r="G227" s="48">
        <v>270000</v>
      </c>
      <c r="H227" s="46" t="s">
        <v>249</v>
      </c>
      <c r="I227" s="46">
        <v>1</v>
      </c>
      <c r="J227" s="46">
        <v>18</v>
      </c>
      <c r="K227" s="49" t="s">
        <v>279</v>
      </c>
      <c r="L227" s="49" t="s">
        <v>30</v>
      </c>
      <c r="M227" s="49" t="s">
        <v>29</v>
      </c>
      <c r="N227" s="49" t="s">
        <v>513</v>
      </c>
      <c r="O227" s="49"/>
      <c r="P227" s="49" t="s">
        <v>201</v>
      </c>
      <c r="Q227" s="49" t="s">
        <v>35</v>
      </c>
      <c r="R227" s="49">
        <v>1</v>
      </c>
      <c r="S227" s="50">
        <f t="shared" si="108"/>
        <v>5.5555555555555554</v>
      </c>
      <c r="T227" s="49">
        <v>6</v>
      </c>
      <c r="U227" s="50">
        <f t="shared" si="109"/>
        <v>33.333333333333329</v>
      </c>
      <c r="V227" s="81" t="s">
        <v>880</v>
      </c>
      <c r="W227" s="49">
        <v>1</v>
      </c>
      <c r="X227" s="50">
        <f t="shared" si="110"/>
        <v>5.5555555555555554</v>
      </c>
      <c r="Y227" s="51" t="str">
        <f t="shared" si="111"/>
        <v>No</v>
      </c>
      <c r="Z227" s="49" t="s">
        <v>29</v>
      </c>
      <c r="AA227" s="49" t="s">
        <v>35</v>
      </c>
      <c r="AB227" s="49" t="s">
        <v>29</v>
      </c>
      <c r="AC227" s="46" t="s">
        <v>267</v>
      </c>
      <c r="AD227" s="46" t="s">
        <v>268</v>
      </c>
      <c r="AE227" s="46" t="s">
        <v>228</v>
      </c>
      <c r="AF227" s="46" t="s">
        <v>29</v>
      </c>
      <c r="AG227" s="103"/>
      <c r="AH227" s="52">
        <v>194665</v>
      </c>
      <c r="AI227" s="52">
        <v>221411</v>
      </c>
      <c r="AJ227" s="102">
        <v>38.9</v>
      </c>
      <c r="AK227" s="104">
        <v>77.8</v>
      </c>
      <c r="AL227" s="102">
        <v>59.61</v>
      </c>
      <c r="AM227" s="102"/>
      <c r="AN227" s="53">
        <f t="shared" si="112"/>
        <v>119.22</v>
      </c>
      <c r="AO227" s="53">
        <v>25.37</v>
      </c>
      <c r="AP227" s="102"/>
      <c r="AQ227" s="102"/>
      <c r="AR227" s="102"/>
      <c r="AS227" s="102"/>
      <c r="AT227" s="102"/>
      <c r="AU227" s="102"/>
      <c r="AV227" s="50"/>
      <c r="AW227" s="50"/>
      <c r="AX227" s="102"/>
      <c r="AY227" s="102"/>
      <c r="AZ227" s="102"/>
      <c r="BA227" s="102"/>
      <c r="BB227" s="102"/>
      <c r="BC227" s="102"/>
      <c r="BD227" s="102"/>
      <c r="BE227" s="102"/>
      <c r="BF227" s="102"/>
      <c r="BG227" s="102"/>
      <c r="BH227" s="102"/>
      <c r="BI227" s="102"/>
      <c r="BJ227" s="50"/>
      <c r="BK227" s="50"/>
      <c r="BL227" s="50"/>
      <c r="BM227" s="50"/>
      <c r="BN227" s="102">
        <v>38.9</v>
      </c>
      <c r="BO227" s="102">
        <f>AI227-AH227</f>
        <v>26746</v>
      </c>
      <c r="BP227" s="102">
        <f>BO227/AH227 *100</f>
        <v>13.739501194359541</v>
      </c>
      <c r="BQ227" s="102" t="str">
        <f>IF(AND((AH227*(BN227/100))&gt;(AI227*(AL227/100)),  AJ227 &lt;&gt;  BN227), "yes", "no")</f>
        <v>no</v>
      </c>
      <c r="BR227" s="102"/>
      <c r="BS227" s="54" t="s">
        <v>29</v>
      </c>
      <c r="BT227" s="45" t="str">
        <f t="shared" si="102"/>
        <v>Yes</v>
      </c>
      <c r="BU227" s="45" t="str">
        <f t="shared" si="103"/>
        <v>No</v>
      </c>
      <c r="BV227" s="45" t="str">
        <f t="shared" si="104"/>
        <v>No</v>
      </c>
      <c r="BW227" s="55">
        <v>82.426736731188996</v>
      </c>
      <c r="BX227" s="55">
        <v>82.426736731188996</v>
      </c>
      <c r="BY227" s="55">
        <v>82.171736731189</v>
      </c>
      <c r="BZ227" s="55">
        <f t="shared" si="116"/>
        <v>82.171736731189</v>
      </c>
      <c r="CA227" s="45">
        <v>2000</v>
      </c>
      <c r="CB227" s="55">
        <v>39.931740423826973</v>
      </c>
      <c r="CC227" s="71" t="s">
        <v>266</v>
      </c>
      <c r="CD227" s="46" t="s">
        <v>267</v>
      </c>
      <c r="CE227" s="71" t="s">
        <v>783</v>
      </c>
      <c r="CF227" s="71">
        <v>2</v>
      </c>
      <c r="CG227" s="46" t="str">
        <f t="shared" si="113"/>
        <v>No</v>
      </c>
      <c r="CH227" s="46" t="s">
        <v>35</v>
      </c>
      <c r="CI227" s="56">
        <v>4400</v>
      </c>
      <c r="CJ227" s="46" t="s">
        <v>180</v>
      </c>
      <c r="CK227" s="79">
        <f>CI227*2</f>
        <v>8800</v>
      </c>
      <c r="CL227" s="49" t="s">
        <v>29</v>
      </c>
      <c r="CM227" s="50">
        <v>0</v>
      </c>
      <c r="CN227" s="50">
        <v>5668020.4966000002</v>
      </c>
      <c r="CO227" s="50" t="s">
        <v>35</v>
      </c>
      <c r="CP227" s="46" t="s">
        <v>23</v>
      </c>
      <c r="CQ227" s="46" t="s">
        <v>23</v>
      </c>
      <c r="CR227" s="46">
        <v>11</v>
      </c>
      <c r="CS227" s="46" t="s">
        <v>855</v>
      </c>
      <c r="CT227" s="46" t="s">
        <v>53</v>
      </c>
      <c r="CU227" s="46" t="s">
        <v>213</v>
      </c>
      <c r="CV227" s="46">
        <v>2</v>
      </c>
      <c r="CW227" s="46" t="s">
        <v>23</v>
      </c>
      <c r="CX227" s="49" t="s">
        <v>921</v>
      </c>
      <c r="CY227" s="49" t="s">
        <v>913</v>
      </c>
      <c r="CZ227" s="49">
        <v>0</v>
      </c>
      <c r="DA227" s="49">
        <v>1</v>
      </c>
      <c r="DB227" s="64">
        <v>554473.70349999995</v>
      </c>
      <c r="DC227" s="58">
        <v>52.285740724943139</v>
      </c>
      <c r="DD227" s="58">
        <v>7.8023668619300004</v>
      </c>
      <c r="DE227" s="58">
        <v>9.3753085442761694</v>
      </c>
      <c r="DF227" s="58">
        <v>26.8458453593733</v>
      </c>
      <c r="DG227" s="58">
        <v>3.690738509477387</v>
      </c>
      <c r="DH227" s="58">
        <v>47.714259275056861</v>
      </c>
      <c r="DI227" s="45" t="s">
        <v>29</v>
      </c>
      <c r="DJ227" s="59" t="str">
        <f t="shared" si="115"/>
        <v>N/A</v>
      </c>
      <c r="DK227" s="65">
        <v>554473.70349999995</v>
      </c>
      <c r="DL227" s="58">
        <v>52.285740724943139</v>
      </c>
      <c r="DM227" s="58">
        <v>7.8023668619300004</v>
      </c>
      <c r="DN227" s="58">
        <v>9.3753085442761694</v>
      </c>
      <c r="DO227" s="58">
        <v>47.714259275056861</v>
      </c>
      <c r="DP227" s="82">
        <v>49.2</v>
      </c>
      <c r="DQ227" s="83">
        <v>75916.37</v>
      </c>
      <c r="DR227" s="58">
        <v>11.3</v>
      </c>
      <c r="DS227" s="58">
        <v>75.3</v>
      </c>
      <c r="DT227" s="53">
        <v>35</v>
      </c>
      <c r="DU227" s="55">
        <v>2.2999999999999998</v>
      </c>
      <c r="DV227" s="105">
        <v>36.5</v>
      </c>
      <c r="DW227" s="58">
        <v>81.2</v>
      </c>
      <c r="DX227" s="53">
        <v>79.629300000000001</v>
      </c>
      <c r="DY227" s="53">
        <v>35.761299999999999</v>
      </c>
      <c r="DZ227" s="63"/>
    </row>
    <row r="228" spans="1:130" s="5" customFormat="1" ht="14.25" customHeight="1">
      <c r="A228" s="45">
        <v>1270</v>
      </c>
      <c r="B228" s="46" t="s">
        <v>210</v>
      </c>
      <c r="C228" s="46">
        <v>1999</v>
      </c>
      <c r="D228" s="46" t="s">
        <v>244</v>
      </c>
      <c r="E228" s="46" t="s">
        <v>22</v>
      </c>
      <c r="F228" s="46">
        <v>4</v>
      </c>
      <c r="G228" s="48">
        <v>170000</v>
      </c>
      <c r="H228" s="46" t="s">
        <v>249</v>
      </c>
      <c r="I228" s="46">
        <v>1</v>
      </c>
      <c r="J228" s="46">
        <v>1</v>
      </c>
      <c r="K228" s="49" t="s">
        <v>253</v>
      </c>
      <c r="L228" s="49" t="s">
        <v>30</v>
      </c>
      <c r="M228" s="49" t="s">
        <v>29</v>
      </c>
      <c r="N228" s="49" t="s">
        <v>513</v>
      </c>
      <c r="O228" s="49"/>
      <c r="P228" s="49" t="s">
        <v>174</v>
      </c>
      <c r="Q228" s="49" t="s">
        <v>29</v>
      </c>
      <c r="R228" s="49">
        <v>0</v>
      </c>
      <c r="S228" s="50">
        <f t="shared" si="108"/>
        <v>0</v>
      </c>
      <c r="T228" s="49" t="str">
        <f>LEFT(V228,2)</f>
        <v>0</v>
      </c>
      <c r="U228" s="50">
        <f t="shared" si="109"/>
        <v>0</v>
      </c>
      <c r="V228" s="49">
        <v>0</v>
      </c>
      <c r="W228" s="49">
        <v>0</v>
      </c>
      <c r="X228" s="50">
        <f t="shared" si="110"/>
        <v>0</v>
      </c>
      <c r="Y228" s="51" t="str">
        <f t="shared" si="111"/>
        <v>No</v>
      </c>
      <c r="Z228" s="49" t="s">
        <v>29</v>
      </c>
      <c r="AA228" s="49" t="s">
        <v>29</v>
      </c>
      <c r="AB228" s="49" t="s">
        <v>29</v>
      </c>
      <c r="AC228" s="46" t="s">
        <v>26</v>
      </c>
      <c r="AD228" s="46" t="s">
        <v>27</v>
      </c>
      <c r="AE228" s="46" t="s">
        <v>228</v>
      </c>
      <c r="AF228" s="46" t="s">
        <v>29</v>
      </c>
      <c r="AG228" s="103"/>
      <c r="AH228" s="52">
        <v>131105</v>
      </c>
      <c r="AI228" s="52">
        <v>131105</v>
      </c>
      <c r="AJ228" s="102">
        <v>100</v>
      </c>
      <c r="AK228" s="104">
        <v>200</v>
      </c>
      <c r="AL228" s="102">
        <v>100</v>
      </c>
      <c r="AM228" s="102"/>
      <c r="AN228" s="53">
        <f t="shared" si="112"/>
        <v>200</v>
      </c>
      <c r="AO228" s="53" t="s">
        <v>23</v>
      </c>
      <c r="AP228" s="102"/>
      <c r="AQ228" s="102"/>
      <c r="AR228" s="102"/>
      <c r="AS228" s="102"/>
      <c r="AT228" s="102"/>
      <c r="AU228" s="102"/>
      <c r="AV228" s="102"/>
      <c r="AW228" s="102"/>
      <c r="AX228" s="102"/>
      <c r="AY228" s="102"/>
      <c r="AZ228" s="102"/>
      <c r="BA228" s="102"/>
      <c r="BB228" s="102"/>
      <c r="BC228" s="102"/>
      <c r="BD228" s="102"/>
      <c r="BE228" s="102"/>
      <c r="BF228" s="102"/>
      <c r="BG228" s="102"/>
      <c r="BH228" s="102"/>
      <c r="BI228" s="102"/>
      <c r="BJ228" s="102"/>
      <c r="BK228" s="102"/>
      <c r="BL228" s="102"/>
      <c r="BM228" s="102"/>
      <c r="BN228" s="102"/>
      <c r="BO228" s="102"/>
      <c r="BP228" s="102"/>
      <c r="BQ228" s="102"/>
      <c r="BR228" s="102"/>
      <c r="BS228" s="54" t="s">
        <v>23</v>
      </c>
      <c r="BT228" s="45" t="str">
        <f t="shared" si="102"/>
        <v>No</v>
      </c>
      <c r="BU228" s="45" t="str">
        <f t="shared" si="103"/>
        <v>No</v>
      </c>
      <c r="BV228" s="45" t="str">
        <f t="shared" si="104"/>
        <v>No</v>
      </c>
      <c r="BW228" s="55">
        <v>82.426736731188996</v>
      </c>
      <c r="BX228" s="55">
        <v>82.426736731188996</v>
      </c>
      <c r="BY228" s="55">
        <v>82.171736731189</v>
      </c>
      <c r="BZ228" s="55">
        <f t="shared" si="116"/>
        <v>82.171736731189</v>
      </c>
      <c r="CA228" s="45">
        <v>2000</v>
      </c>
      <c r="CB228" s="55">
        <v>23.64494459744925</v>
      </c>
      <c r="CC228" s="71" t="s">
        <v>266</v>
      </c>
      <c r="CD228" s="46" t="s">
        <v>267</v>
      </c>
      <c r="CE228" s="71" t="s">
        <v>783</v>
      </c>
      <c r="CF228" s="71">
        <v>2</v>
      </c>
      <c r="CG228" s="46" t="str">
        <f t="shared" si="113"/>
        <v>No</v>
      </c>
      <c r="CH228" s="46" t="s">
        <v>29</v>
      </c>
      <c r="CI228" s="56">
        <v>3400</v>
      </c>
      <c r="CJ228" s="46" t="s">
        <v>180</v>
      </c>
      <c r="CK228" s="79">
        <f>CI228*2</f>
        <v>6800</v>
      </c>
      <c r="CL228" s="49" t="s">
        <v>29</v>
      </c>
      <c r="CM228" s="50">
        <v>0</v>
      </c>
      <c r="CN228" s="50"/>
      <c r="CO228" s="50"/>
      <c r="CP228" s="46" t="s">
        <v>23</v>
      </c>
      <c r="CQ228" s="46" t="s">
        <v>23</v>
      </c>
      <c r="CR228" s="46">
        <v>11</v>
      </c>
      <c r="CS228" s="46" t="s">
        <v>855</v>
      </c>
      <c r="CT228" s="46" t="s">
        <v>25</v>
      </c>
      <c r="CU228" s="46" t="s">
        <v>213</v>
      </c>
      <c r="CV228" s="46">
        <v>2</v>
      </c>
      <c r="CW228" s="46" t="s">
        <v>23</v>
      </c>
      <c r="CX228" s="49" t="s">
        <v>921</v>
      </c>
      <c r="CY228" s="49" t="s">
        <v>913</v>
      </c>
      <c r="CZ228" s="49">
        <v>0</v>
      </c>
      <c r="DA228" s="49">
        <v>1</v>
      </c>
      <c r="DB228" s="64">
        <v>554473.70349999995</v>
      </c>
      <c r="DC228" s="58">
        <v>52.285740724943139</v>
      </c>
      <c r="DD228" s="58">
        <v>7.8023668619300004</v>
      </c>
      <c r="DE228" s="58">
        <v>9.3753085442761694</v>
      </c>
      <c r="DF228" s="58">
        <v>26.8458453593733</v>
      </c>
      <c r="DG228" s="58">
        <v>3.690738509477387</v>
      </c>
      <c r="DH228" s="58">
        <v>47.714259275056861</v>
      </c>
      <c r="DI228" s="45" t="s">
        <v>29</v>
      </c>
      <c r="DJ228" s="59" t="str">
        <f t="shared" si="115"/>
        <v>N/A</v>
      </c>
      <c r="DK228" s="65">
        <v>554473.70349999995</v>
      </c>
      <c r="DL228" s="58">
        <v>52.285740724943139</v>
      </c>
      <c r="DM228" s="58">
        <v>7.8023668619300004</v>
      </c>
      <c r="DN228" s="58">
        <v>9.3753085442761694</v>
      </c>
      <c r="DO228" s="58">
        <v>47.714259275056861</v>
      </c>
      <c r="DP228" s="82">
        <v>49.2</v>
      </c>
      <c r="DQ228" s="83">
        <v>75916.37</v>
      </c>
      <c r="DR228" s="58">
        <v>11.3</v>
      </c>
      <c r="DS228" s="58">
        <v>75.3</v>
      </c>
      <c r="DT228" s="53">
        <v>35</v>
      </c>
      <c r="DU228" s="55">
        <v>2.2999999999999998</v>
      </c>
      <c r="DV228" s="105">
        <v>36.5</v>
      </c>
      <c r="DW228" s="58">
        <v>81.2</v>
      </c>
      <c r="DX228" s="53">
        <v>79.629300000000001</v>
      </c>
      <c r="DY228" s="53">
        <v>35.761299999999999</v>
      </c>
      <c r="DZ228" s="63"/>
    </row>
    <row r="229" spans="1:130" s="5" customFormat="1" ht="14.25" customHeight="1">
      <c r="A229" s="45">
        <v>1257</v>
      </c>
      <c r="B229" s="46" t="s">
        <v>210</v>
      </c>
      <c r="C229" s="46">
        <v>2000</v>
      </c>
      <c r="D229" s="46" t="s">
        <v>219</v>
      </c>
      <c r="E229" s="46" t="s">
        <v>77</v>
      </c>
      <c r="F229" s="46">
        <v>4</v>
      </c>
      <c r="G229" s="48">
        <v>108000</v>
      </c>
      <c r="H229" s="46" t="s">
        <v>249</v>
      </c>
      <c r="I229" s="46">
        <v>1</v>
      </c>
      <c r="J229" s="46">
        <v>5</v>
      </c>
      <c r="K229" s="49" t="s">
        <v>260</v>
      </c>
      <c r="L229" s="49" t="s">
        <v>30</v>
      </c>
      <c r="M229" s="49" t="s">
        <v>29</v>
      </c>
      <c r="N229" s="49" t="s">
        <v>512</v>
      </c>
      <c r="O229" s="49"/>
      <c r="P229" s="49" t="s">
        <v>174</v>
      </c>
      <c r="Q229" s="49" t="s">
        <v>29</v>
      </c>
      <c r="R229" s="49">
        <v>1</v>
      </c>
      <c r="S229" s="50">
        <f t="shared" si="108"/>
        <v>20</v>
      </c>
      <c r="T229" s="49" t="str">
        <f>LEFT(V229,2)</f>
        <v xml:space="preserve">2 </v>
      </c>
      <c r="U229" s="50">
        <f t="shared" si="109"/>
        <v>40</v>
      </c>
      <c r="V229" s="49" t="s">
        <v>172</v>
      </c>
      <c r="W229" s="49">
        <v>1</v>
      </c>
      <c r="X229" s="50">
        <f t="shared" si="110"/>
        <v>20</v>
      </c>
      <c r="Y229" s="51" t="str">
        <f t="shared" si="111"/>
        <v>No</v>
      </c>
      <c r="Z229" s="49" t="s">
        <v>35</v>
      </c>
      <c r="AA229" s="49" t="s">
        <v>23</v>
      </c>
      <c r="AB229" s="49" t="s">
        <v>23</v>
      </c>
      <c r="AC229" s="46" t="s">
        <v>267</v>
      </c>
      <c r="AD229" s="46" t="s">
        <v>268</v>
      </c>
      <c r="AE229" s="46" t="s">
        <v>89</v>
      </c>
      <c r="AF229" s="46" t="s">
        <v>29</v>
      </c>
      <c r="AG229" s="103"/>
      <c r="AH229" s="52">
        <v>24211</v>
      </c>
      <c r="AI229" s="52">
        <v>14373</v>
      </c>
      <c r="AJ229" s="102">
        <v>28.21</v>
      </c>
      <c r="AK229" s="104">
        <v>56.42</v>
      </c>
      <c r="AL229" s="102">
        <v>52.08</v>
      </c>
      <c r="AM229" s="102"/>
      <c r="AN229" s="53">
        <f t="shared" si="112"/>
        <v>104.16</v>
      </c>
      <c r="AO229" s="53">
        <v>28.21</v>
      </c>
      <c r="AP229" s="102"/>
      <c r="AQ229" s="102"/>
      <c r="AR229" s="102"/>
      <c r="AS229" s="102"/>
      <c r="AT229" s="102"/>
      <c r="AU229" s="102"/>
      <c r="AV229" s="102"/>
      <c r="AW229" s="102"/>
      <c r="AX229" s="102"/>
      <c r="AY229" s="102"/>
      <c r="AZ229" s="102"/>
      <c r="BA229" s="102"/>
      <c r="BB229" s="102"/>
      <c r="BC229" s="102"/>
      <c r="BD229" s="102"/>
      <c r="BE229" s="102"/>
      <c r="BF229" s="102"/>
      <c r="BG229" s="102"/>
      <c r="BH229" s="102"/>
      <c r="BI229" s="102"/>
      <c r="BJ229" s="102"/>
      <c r="BK229" s="102"/>
      <c r="BL229" s="102"/>
      <c r="BM229" s="102"/>
      <c r="BN229" s="102">
        <v>38.07</v>
      </c>
      <c r="BO229" s="102">
        <f>AI229-AH229</f>
        <v>-9838</v>
      </c>
      <c r="BP229" s="102">
        <f>BO229/AH229 *100</f>
        <v>-40.634422369997111</v>
      </c>
      <c r="BQ229" s="102" t="str">
        <f>IF(AND((AH229*(BN229/100))&gt;(AI229*(AL229/100)),  AJ229 &lt;&gt;  BN229), "yes", "no")</f>
        <v>yes</v>
      </c>
      <c r="BR229" s="102"/>
      <c r="BS229" s="54"/>
      <c r="BT229" s="45" t="str">
        <f t="shared" ref="BT229:BT260" si="117">IF(J229=I229, "No", IF(AJ229/AO229&lt;2, "Yes", "No"))</f>
        <v>Yes</v>
      </c>
      <c r="BU229" s="45" t="str">
        <f t="shared" ref="BU229:BU260" si="118">IF(J229=I229, "No", IF(AJ229/AO229&lt;1.5, "Yes", "No"))</f>
        <v>Yes</v>
      </c>
      <c r="BV229" s="45" t="str">
        <f t="shared" ref="BV229:BV260" si="119">IF(J229=I229, "No", IF((ABS(AJ229-AO229))&lt;(5/I229), "Yes", "No"))</f>
        <v>Yes</v>
      </c>
      <c r="BW229" s="55">
        <v>82.426736731188996</v>
      </c>
      <c r="BX229" s="55">
        <v>79.715944758317633</v>
      </c>
      <c r="BY229" s="55">
        <v>82.171736731189</v>
      </c>
      <c r="BZ229" s="55">
        <f t="shared" si="116"/>
        <v>79.460944758317638</v>
      </c>
      <c r="CA229" s="45">
        <v>2000</v>
      </c>
      <c r="CB229" s="55">
        <f t="shared" ref="CB229:CB260" si="120">((AI229/I229)/DB229)*100</f>
        <v>27.930974173613944</v>
      </c>
      <c r="CC229" s="71" t="s">
        <v>266</v>
      </c>
      <c r="CD229" s="46" t="s">
        <v>267</v>
      </c>
      <c r="CE229" s="71" t="s">
        <v>783</v>
      </c>
      <c r="CF229" s="71">
        <v>2</v>
      </c>
      <c r="CG229" s="46" t="str">
        <f t="shared" si="113"/>
        <v>No</v>
      </c>
      <c r="CH229" s="46" t="s">
        <v>35</v>
      </c>
      <c r="CI229" s="56">
        <v>500</v>
      </c>
      <c r="CJ229" s="46" t="s">
        <v>180</v>
      </c>
      <c r="CK229" s="79">
        <v>1000</v>
      </c>
      <c r="CL229" s="49" t="s">
        <v>29</v>
      </c>
      <c r="CM229" s="50">
        <v>0</v>
      </c>
      <c r="CN229" s="50"/>
      <c r="CO229" s="50"/>
      <c r="CP229" s="46" t="s">
        <v>23</v>
      </c>
      <c r="CQ229" s="46" t="s">
        <v>273</v>
      </c>
      <c r="CR229" s="46">
        <v>11</v>
      </c>
      <c r="CS229" s="46" t="s">
        <v>855</v>
      </c>
      <c r="CT229" s="46" t="s">
        <v>856</v>
      </c>
      <c r="CU229" s="46" t="s">
        <v>213</v>
      </c>
      <c r="CV229" s="46">
        <v>1</v>
      </c>
      <c r="CW229" s="46" t="s">
        <v>23</v>
      </c>
      <c r="CX229" s="49" t="s">
        <v>921</v>
      </c>
      <c r="CY229" s="49"/>
      <c r="CZ229" s="49">
        <v>0</v>
      </c>
      <c r="DA229" s="49">
        <v>0</v>
      </c>
      <c r="DB229" s="57">
        <v>51459</v>
      </c>
      <c r="DC229" s="58">
        <v>50.32</v>
      </c>
      <c r="DD229" s="58">
        <v>2.1800000000000002</v>
      </c>
      <c r="DE229" s="58">
        <v>4.1399999999999997</v>
      </c>
      <c r="DF229" s="58">
        <v>40.1</v>
      </c>
      <c r="DG229" s="58">
        <v>4.6716803668940319</v>
      </c>
      <c r="DH229" s="58">
        <v>49.68</v>
      </c>
      <c r="DI229" s="45" t="s">
        <v>29</v>
      </c>
      <c r="DJ229" s="59" t="str">
        <f t="shared" si="115"/>
        <v>N/A</v>
      </c>
      <c r="DK229" s="60">
        <v>51459</v>
      </c>
      <c r="DL229" s="58">
        <v>50.32</v>
      </c>
      <c r="DM229" s="58">
        <v>2.1800000000000002</v>
      </c>
      <c r="DN229" s="58">
        <v>4.1399999999999997</v>
      </c>
      <c r="DO229" s="58">
        <v>49.68</v>
      </c>
      <c r="DP229" s="82">
        <v>49.2</v>
      </c>
      <c r="DQ229" s="67">
        <v>75916.37</v>
      </c>
      <c r="DR229" s="58">
        <v>11.3</v>
      </c>
      <c r="DS229" s="58">
        <v>75.3</v>
      </c>
      <c r="DT229" s="53">
        <v>35</v>
      </c>
      <c r="DU229" s="55">
        <v>2.2999999999999998</v>
      </c>
      <c r="DV229" s="50">
        <v>36.5</v>
      </c>
      <c r="DW229" s="58">
        <v>81.2</v>
      </c>
      <c r="DX229" s="53">
        <v>79.629300000000001</v>
      </c>
      <c r="DY229" s="53">
        <v>35.761299999999999</v>
      </c>
      <c r="DZ229" s="63"/>
    </row>
    <row r="230" spans="1:130" s="5" customFormat="1" ht="14.25" customHeight="1">
      <c r="A230" s="45">
        <v>1258</v>
      </c>
      <c r="B230" s="46" t="s">
        <v>210</v>
      </c>
      <c r="C230" s="46">
        <v>2000</v>
      </c>
      <c r="D230" s="46" t="s">
        <v>219</v>
      </c>
      <c r="E230" s="46" t="s">
        <v>92</v>
      </c>
      <c r="F230" s="46">
        <v>2</v>
      </c>
      <c r="G230" s="48">
        <v>108000</v>
      </c>
      <c r="H230" s="46" t="s">
        <v>249</v>
      </c>
      <c r="I230" s="46">
        <v>1</v>
      </c>
      <c r="J230" s="46">
        <v>1</v>
      </c>
      <c r="K230" s="49" t="s">
        <v>252</v>
      </c>
      <c r="L230" s="49" t="s">
        <v>30</v>
      </c>
      <c r="M230" s="49" t="s">
        <v>29</v>
      </c>
      <c r="N230" s="49" t="s">
        <v>512</v>
      </c>
      <c r="O230" s="49"/>
      <c r="P230" s="49" t="s">
        <v>174</v>
      </c>
      <c r="Q230" s="49" t="s">
        <v>29</v>
      </c>
      <c r="R230" s="49">
        <v>0</v>
      </c>
      <c r="S230" s="50">
        <f t="shared" si="108"/>
        <v>0</v>
      </c>
      <c r="T230" s="49" t="str">
        <f>LEFT(V230,2)</f>
        <v>0</v>
      </c>
      <c r="U230" s="50">
        <f t="shared" si="109"/>
        <v>0</v>
      </c>
      <c r="V230" s="49">
        <v>0</v>
      </c>
      <c r="W230" s="49">
        <v>0</v>
      </c>
      <c r="X230" s="50">
        <f t="shared" si="110"/>
        <v>0</v>
      </c>
      <c r="Y230" s="51" t="str">
        <f t="shared" si="111"/>
        <v>No</v>
      </c>
      <c r="Z230" s="49" t="s">
        <v>35</v>
      </c>
      <c r="AA230" s="49" t="s">
        <v>23</v>
      </c>
      <c r="AB230" s="49" t="s">
        <v>23</v>
      </c>
      <c r="AC230" s="46" t="s">
        <v>26</v>
      </c>
      <c r="AD230" s="46" t="s">
        <v>27</v>
      </c>
      <c r="AE230" s="46" t="s">
        <v>89</v>
      </c>
      <c r="AF230" s="46" t="s">
        <v>29</v>
      </c>
      <c r="AG230" s="103"/>
      <c r="AH230" s="52">
        <v>27070</v>
      </c>
      <c r="AI230" s="52">
        <v>27070</v>
      </c>
      <c r="AJ230" s="102">
        <v>97.65</v>
      </c>
      <c r="AK230" s="104">
        <v>195.3</v>
      </c>
      <c r="AL230" s="102">
        <v>97.65</v>
      </c>
      <c r="AM230" s="102"/>
      <c r="AN230" s="53">
        <f t="shared" si="112"/>
        <v>195.3</v>
      </c>
      <c r="AO230" s="53" t="s">
        <v>23</v>
      </c>
      <c r="AP230" s="102"/>
      <c r="AQ230" s="102"/>
      <c r="AR230" s="102"/>
      <c r="AS230" s="102"/>
      <c r="AT230" s="102"/>
      <c r="AU230" s="102"/>
      <c r="AV230" s="102"/>
      <c r="AW230" s="102"/>
      <c r="AX230" s="102"/>
      <c r="AY230" s="102"/>
      <c r="AZ230" s="102"/>
      <c r="BA230" s="102"/>
      <c r="BB230" s="102"/>
      <c r="BC230" s="102"/>
      <c r="BD230" s="102"/>
      <c r="BE230" s="102"/>
      <c r="BF230" s="102"/>
      <c r="BG230" s="102"/>
      <c r="BH230" s="102"/>
      <c r="BI230" s="102"/>
      <c r="BJ230" s="102"/>
      <c r="BK230" s="102"/>
      <c r="BL230" s="102"/>
      <c r="BM230" s="102"/>
      <c r="BN230" s="102"/>
      <c r="BO230" s="101"/>
      <c r="BP230" s="101"/>
      <c r="BQ230" s="101"/>
      <c r="BR230" s="102"/>
      <c r="BS230" s="54" t="s">
        <v>23</v>
      </c>
      <c r="BT230" s="45" t="str">
        <f t="shared" si="117"/>
        <v>No</v>
      </c>
      <c r="BU230" s="45" t="str">
        <f t="shared" si="118"/>
        <v>No</v>
      </c>
      <c r="BV230" s="45" t="str">
        <f t="shared" si="119"/>
        <v>No</v>
      </c>
      <c r="BW230" s="55">
        <v>82.426736731188996</v>
      </c>
      <c r="BX230" s="55">
        <v>68.975061507492725</v>
      </c>
      <c r="BY230" s="55">
        <v>82.171736731189</v>
      </c>
      <c r="BZ230" s="55">
        <f t="shared" si="116"/>
        <v>68.72006150749273</v>
      </c>
      <c r="CA230" s="45">
        <v>2000</v>
      </c>
      <c r="CB230" s="55">
        <f t="shared" si="120"/>
        <v>47.34918052858967</v>
      </c>
      <c r="CC230" s="71" t="s">
        <v>266</v>
      </c>
      <c r="CD230" s="46" t="s">
        <v>267</v>
      </c>
      <c r="CE230" s="71" t="s">
        <v>783</v>
      </c>
      <c r="CF230" s="71">
        <v>2</v>
      </c>
      <c r="CG230" s="46" t="str">
        <f t="shared" si="113"/>
        <v>No</v>
      </c>
      <c r="CH230" s="46" t="s">
        <v>35</v>
      </c>
      <c r="CI230" s="56">
        <v>500</v>
      </c>
      <c r="CJ230" s="46" t="s">
        <v>180</v>
      </c>
      <c r="CK230" s="79">
        <v>1000</v>
      </c>
      <c r="CL230" s="49" t="s">
        <v>29</v>
      </c>
      <c r="CM230" s="50">
        <v>0</v>
      </c>
      <c r="CN230" s="50"/>
      <c r="CO230" s="50"/>
      <c r="CP230" s="46" t="s">
        <v>23</v>
      </c>
      <c r="CQ230" s="46" t="s">
        <v>273</v>
      </c>
      <c r="CR230" s="46">
        <v>11</v>
      </c>
      <c r="CS230" s="46" t="s">
        <v>855</v>
      </c>
      <c r="CT230" s="46" t="s">
        <v>856</v>
      </c>
      <c r="CU230" s="46" t="s">
        <v>213</v>
      </c>
      <c r="CV230" s="46">
        <v>2</v>
      </c>
      <c r="CW230" s="46" t="s">
        <v>23</v>
      </c>
      <c r="CX230" s="49" t="s">
        <v>921</v>
      </c>
      <c r="CY230" s="49"/>
      <c r="CZ230" s="49">
        <v>0</v>
      </c>
      <c r="DA230" s="49">
        <v>0</v>
      </c>
      <c r="DB230" s="57">
        <v>57171</v>
      </c>
      <c r="DC230" s="58">
        <v>75.83</v>
      </c>
      <c r="DD230" s="58">
        <v>3.29</v>
      </c>
      <c r="DE230" s="58">
        <v>4.67</v>
      </c>
      <c r="DF230" s="58">
        <v>13.309999999999999</v>
      </c>
      <c r="DG230" s="58">
        <v>3.8638470553252522</v>
      </c>
      <c r="DH230" s="58">
        <v>24.17</v>
      </c>
      <c r="DI230" s="45" t="s">
        <v>29</v>
      </c>
      <c r="DJ230" s="59" t="str">
        <f t="shared" si="115"/>
        <v>N/A</v>
      </c>
      <c r="DK230" s="60">
        <v>57171</v>
      </c>
      <c r="DL230" s="58">
        <v>75.83</v>
      </c>
      <c r="DM230" s="58">
        <v>3.29</v>
      </c>
      <c r="DN230" s="58">
        <v>4.67</v>
      </c>
      <c r="DO230" s="58">
        <v>24.17</v>
      </c>
      <c r="DP230" s="82">
        <v>49.2</v>
      </c>
      <c r="DQ230" s="67">
        <v>75916.37</v>
      </c>
      <c r="DR230" s="58">
        <v>11.3</v>
      </c>
      <c r="DS230" s="58">
        <v>75.3</v>
      </c>
      <c r="DT230" s="53">
        <v>35</v>
      </c>
      <c r="DU230" s="55">
        <v>2.2999999999999998</v>
      </c>
      <c r="DV230" s="50">
        <v>36.5</v>
      </c>
      <c r="DW230" s="58">
        <v>81.2</v>
      </c>
      <c r="DX230" s="53">
        <v>79.629300000000001</v>
      </c>
      <c r="DY230" s="53">
        <v>35.761299999999999</v>
      </c>
      <c r="DZ230" s="63"/>
    </row>
    <row r="231" spans="1:130" s="5" customFormat="1" ht="14.25" customHeight="1">
      <c r="A231" s="45">
        <v>1259</v>
      </c>
      <c r="B231" s="46" t="s">
        <v>210</v>
      </c>
      <c r="C231" s="46">
        <v>2000</v>
      </c>
      <c r="D231" s="46" t="s">
        <v>219</v>
      </c>
      <c r="E231" s="46" t="s">
        <v>95</v>
      </c>
      <c r="F231" s="46">
        <v>4</v>
      </c>
      <c r="G231" s="48">
        <v>108000</v>
      </c>
      <c r="H231" s="46" t="s">
        <v>249</v>
      </c>
      <c r="I231" s="46">
        <v>1</v>
      </c>
      <c r="J231" s="46">
        <v>8</v>
      </c>
      <c r="K231" s="49" t="s">
        <v>261</v>
      </c>
      <c r="L231" s="49" t="s">
        <v>30</v>
      </c>
      <c r="M231" s="49" t="s">
        <v>29</v>
      </c>
      <c r="N231" s="49" t="s">
        <v>512</v>
      </c>
      <c r="O231" s="49"/>
      <c r="P231" s="49" t="s">
        <v>174</v>
      </c>
      <c r="Q231" s="49" t="s">
        <v>29</v>
      </c>
      <c r="R231" s="49">
        <v>3</v>
      </c>
      <c r="S231" s="50">
        <f t="shared" si="108"/>
        <v>37.5</v>
      </c>
      <c r="T231" s="49">
        <v>3</v>
      </c>
      <c r="U231" s="50">
        <f t="shared" si="109"/>
        <v>37.5</v>
      </c>
      <c r="V231" s="49" t="s">
        <v>796</v>
      </c>
      <c r="W231" s="49">
        <v>2</v>
      </c>
      <c r="X231" s="50">
        <f t="shared" si="110"/>
        <v>25</v>
      </c>
      <c r="Y231" s="51" t="str">
        <f t="shared" si="111"/>
        <v>No</v>
      </c>
      <c r="Z231" s="49" t="s">
        <v>35</v>
      </c>
      <c r="AA231" s="49" t="s">
        <v>23</v>
      </c>
      <c r="AB231" s="49" t="s">
        <v>23</v>
      </c>
      <c r="AC231" s="46" t="s">
        <v>267</v>
      </c>
      <c r="AD231" s="46" t="s">
        <v>268</v>
      </c>
      <c r="AE231" s="46" t="s">
        <v>89</v>
      </c>
      <c r="AF231" s="46" t="s">
        <v>29</v>
      </c>
      <c r="AG231" s="103"/>
      <c r="AH231" s="52">
        <v>21066</v>
      </c>
      <c r="AI231" s="52">
        <v>12414</v>
      </c>
      <c r="AJ231" s="102">
        <v>35.909999999999997</v>
      </c>
      <c r="AK231" s="104">
        <v>71.819999999999993</v>
      </c>
      <c r="AL231" s="102">
        <v>58.02</v>
      </c>
      <c r="AM231" s="102"/>
      <c r="AN231" s="53">
        <f t="shared" si="112"/>
        <v>116.04</v>
      </c>
      <c r="AO231" s="53">
        <v>14.98</v>
      </c>
      <c r="AP231" s="102"/>
      <c r="AQ231" s="102"/>
      <c r="AR231" s="102"/>
      <c r="AS231" s="102"/>
      <c r="AT231" s="102"/>
      <c r="AU231" s="102"/>
      <c r="AV231" s="102"/>
      <c r="AW231" s="102"/>
      <c r="AX231" s="102"/>
      <c r="AY231" s="102"/>
      <c r="AZ231" s="102"/>
      <c r="BA231" s="102"/>
      <c r="BB231" s="102"/>
      <c r="BC231" s="102"/>
      <c r="BD231" s="102"/>
      <c r="BE231" s="102"/>
      <c r="BF231" s="102"/>
      <c r="BG231" s="102"/>
      <c r="BH231" s="102"/>
      <c r="BI231" s="102"/>
      <c r="BJ231" s="102"/>
      <c r="BK231" s="102"/>
      <c r="BL231" s="102"/>
      <c r="BM231" s="102"/>
      <c r="BN231" s="102">
        <v>35.909999999999997</v>
      </c>
      <c r="BO231" s="102">
        <f t="shared" ref="BO231:BO236" si="121">AI231-AH231</f>
        <v>-8652</v>
      </c>
      <c r="BP231" s="102">
        <f t="shared" ref="BP231:BP236" si="122">BO231/AH231 *100</f>
        <v>-41.070919965821702</v>
      </c>
      <c r="BQ231" s="102" t="str">
        <f t="shared" ref="BQ231:BQ236" si="123">IF(AND((AH231*(BN231/100))&gt;(AI231*(AL231/100)),  AJ231 &lt;&gt;  BN231), "yes", "no")</f>
        <v>no</v>
      </c>
      <c r="BR231" s="102"/>
      <c r="BS231" s="54" t="s">
        <v>29</v>
      </c>
      <c r="BT231" s="45" t="str">
        <f t="shared" si="117"/>
        <v>No</v>
      </c>
      <c r="BU231" s="45" t="str">
        <f t="shared" si="118"/>
        <v>No</v>
      </c>
      <c r="BV231" s="45" t="str">
        <f t="shared" si="119"/>
        <v>No</v>
      </c>
      <c r="BW231" s="55">
        <v>82.426736731188996</v>
      </c>
      <c r="BX231" s="55">
        <v>78.991373589913735</v>
      </c>
      <c r="BY231" s="55">
        <v>82.171736731189</v>
      </c>
      <c r="BZ231" s="55">
        <f t="shared" si="116"/>
        <v>78.73637358991374</v>
      </c>
      <c r="CA231" s="45">
        <v>2000</v>
      </c>
      <c r="CB231" s="55">
        <f t="shared" si="120"/>
        <v>24.773992695922889</v>
      </c>
      <c r="CC231" s="71" t="s">
        <v>266</v>
      </c>
      <c r="CD231" s="46" t="s">
        <v>267</v>
      </c>
      <c r="CE231" s="71" t="s">
        <v>783</v>
      </c>
      <c r="CF231" s="71">
        <v>2</v>
      </c>
      <c r="CG231" s="46" t="str">
        <f t="shared" si="113"/>
        <v>No</v>
      </c>
      <c r="CH231" s="46" t="s">
        <v>35</v>
      </c>
      <c r="CI231" s="56">
        <v>500</v>
      </c>
      <c r="CJ231" s="46" t="s">
        <v>180</v>
      </c>
      <c r="CK231" s="79">
        <v>1000</v>
      </c>
      <c r="CL231" s="49" t="s">
        <v>29</v>
      </c>
      <c r="CM231" s="50">
        <v>0</v>
      </c>
      <c r="CN231" s="50"/>
      <c r="CO231" s="50"/>
      <c r="CP231" s="46" t="s">
        <v>23</v>
      </c>
      <c r="CQ231" s="46" t="s">
        <v>273</v>
      </c>
      <c r="CR231" s="46">
        <v>11</v>
      </c>
      <c r="CS231" s="46" t="s">
        <v>855</v>
      </c>
      <c r="CT231" s="46" t="s">
        <v>856</v>
      </c>
      <c r="CU231" s="46" t="s">
        <v>213</v>
      </c>
      <c r="CV231" s="46">
        <v>1</v>
      </c>
      <c r="CW231" s="46" t="s">
        <v>23</v>
      </c>
      <c r="CX231" s="49" t="s">
        <v>921</v>
      </c>
      <c r="CY231" s="49"/>
      <c r="CZ231" s="49">
        <v>0</v>
      </c>
      <c r="DA231" s="49">
        <v>0</v>
      </c>
      <c r="DB231" s="57">
        <v>50109</v>
      </c>
      <c r="DC231" s="58">
        <v>53.99</v>
      </c>
      <c r="DD231" s="58">
        <v>2.0500000000000003</v>
      </c>
      <c r="DE231" s="58">
        <v>3.94</v>
      </c>
      <c r="DF231" s="58">
        <v>37.369999999999997</v>
      </c>
      <c r="DG231" s="58">
        <v>3.8096948651938773</v>
      </c>
      <c r="DH231" s="58">
        <v>46.01</v>
      </c>
      <c r="DI231" s="45" t="s">
        <v>29</v>
      </c>
      <c r="DJ231" s="59" t="str">
        <f t="shared" si="115"/>
        <v>N/A</v>
      </c>
      <c r="DK231" s="60">
        <v>50109</v>
      </c>
      <c r="DL231" s="58">
        <v>53.99</v>
      </c>
      <c r="DM231" s="58">
        <v>2.0500000000000003</v>
      </c>
      <c r="DN231" s="58">
        <v>3.94</v>
      </c>
      <c r="DO231" s="58">
        <v>46.01</v>
      </c>
      <c r="DP231" s="82">
        <v>49.2</v>
      </c>
      <c r="DQ231" s="67">
        <v>75916.37</v>
      </c>
      <c r="DR231" s="58">
        <v>11.3</v>
      </c>
      <c r="DS231" s="58">
        <v>75.3</v>
      </c>
      <c r="DT231" s="53">
        <v>35</v>
      </c>
      <c r="DU231" s="55">
        <v>2.2999999999999998</v>
      </c>
      <c r="DV231" s="50">
        <v>36.5</v>
      </c>
      <c r="DW231" s="58">
        <v>81.2</v>
      </c>
      <c r="DX231" s="53">
        <v>79.629300000000001</v>
      </c>
      <c r="DY231" s="53">
        <v>35.761299999999999</v>
      </c>
      <c r="DZ231" s="63"/>
    </row>
    <row r="232" spans="1:130" s="5" customFormat="1" ht="14.25" customHeight="1">
      <c r="A232" s="45">
        <v>1260</v>
      </c>
      <c r="B232" s="46" t="s">
        <v>210</v>
      </c>
      <c r="C232" s="46">
        <v>2000</v>
      </c>
      <c r="D232" s="46" t="s">
        <v>219</v>
      </c>
      <c r="E232" s="71" t="s">
        <v>80</v>
      </c>
      <c r="F232" s="46">
        <v>2</v>
      </c>
      <c r="G232" s="48">
        <v>108000</v>
      </c>
      <c r="H232" s="46" t="s">
        <v>249</v>
      </c>
      <c r="I232" s="46">
        <v>1</v>
      </c>
      <c r="J232" s="46">
        <v>7</v>
      </c>
      <c r="K232" s="49" t="s">
        <v>274</v>
      </c>
      <c r="L232" s="49" t="s">
        <v>30</v>
      </c>
      <c r="M232" s="49" t="s">
        <v>29</v>
      </c>
      <c r="N232" s="49" t="s">
        <v>512</v>
      </c>
      <c r="O232" s="49"/>
      <c r="P232" s="49" t="s">
        <v>34</v>
      </c>
      <c r="Q232" s="49" t="s">
        <v>35</v>
      </c>
      <c r="R232" s="49">
        <v>0</v>
      </c>
      <c r="S232" s="50">
        <f t="shared" si="108"/>
        <v>0</v>
      </c>
      <c r="T232" s="49">
        <v>4</v>
      </c>
      <c r="U232" s="50">
        <f t="shared" si="109"/>
        <v>57.142857142857139</v>
      </c>
      <c r="V232" s="49" t="s">
        <v>778</v>
      </c>
      <c r="W232" s="49">
        <v>0</v>
      </c>
      <c r="X232" s="50">
        <f t="shared" si="110"/>
        <v>0</v>
      </c>
      <c r="Y232" s="51" t="str">
        <f t="shared" si="111"/>
        <v>No</v>
      </c>
      <c r="Z232" s="49" t="s">
        <v>35</v>
      </c>
      <c r="AA232" s="49" t="s">
        <v>23</v>
      </c>
      <c r="AB232" s="49" t="s">
        <v>23</v>
      </c>
      <c r="AC232" s="46" t="s">
        <v>267</v>
      </c>
      <c r="AD232" s="46" t="s">
        <v>268</v>
      </c>
      <c r="AE232" s="46" t="s">
        <v>89</v>
      </c>
      <c r="AF232" s="46" t="s">
        <v>29</v>
      </c>
      <c r="AG232" s="103"/>
      <c r="AH232" s="52">
        <v>24617</v>
      </c>
      <c r="AI232" s="52">
        <v>14782</v>
      </c>
      <c r="AJ232" s="102">
        <v>43.53</v>
      </c>
      <c r="AK232" s="104">
        <v>87.06</v>
      </c>
      <c r="AL232" s="102">
        <v>57.18</v>
      </c>
      <c r="AM232" s="102"/>
      <c r="AN232" s="53">
        <f t="shared" si="112"/>
        <v>114.36</v>
      </c>
      <c r="AO232" s="53">
        <v>16.829999999999998</v>
      </c>
      <c r="AP232" s="102"/>
      <c r="AQ232" s="102"/>
      <c r="AR232" s="102"/>
      <c r="AS232" s="102"/>
      <c r="AT232" s="102"/>
      <c r="AU232" s="102"/>
      <c r="AV232" s="102"/>
      <c r="AW232" s="102"/>
      <c r="AX232" s="102"/>
      <c r="AY232" s="102"/>
      <c r="AZ232" s="102"/>
      <c r="BA232" s="102"/>
      <c r="BB232" s="102"/>
      <c r="BC232" s="102"/>
      <c r="BD232" s="102"/>
      <c r="BE232" s="102"/>
      <c r="BF232" s="102"/>
      <c r="BG232" s="102"/>
      <c r="BH232" s="102"/>
      <c r="BI232" s="102"/>
      <c r="BJ232" s="102"/>
      <c r="BK232" s="102"/>
      <c r="BL232" s="102"/>
      <c r="BM232" s="102"/>
      <c r="BN232" s="102">
        <v>43.53</v>
      </c>
      <c r="BO232" s="102">
        <f t="shared" si="121"/>
        <v>-9835</v>
      </c>
      <c r="BP232" s="102">
        <f t="shared" si="122"/>
        <v>-39.952065645692002</v>
      </c>
      <c r="BQ232" s="102" t="str">
        <f t="shared" si="123"/>
        <v>no</v>
      </c>
      <c r="BR232" s="102"/>
      <c r="BS232" s="54" t="s">
        <v>29</v>
      </c>
      <c r="BT232" s="45" t="str">
        <f t="shared" si="117"/>
        <v>No</v>
      </c>
      <c r="BU232" s="45" t="str">
        <f t="shared" si="118"/>
        <v>No</v>
      </c>
      <c r="BV232" s="45" t="str">
        <f t="shared" si="119"/>
        <v>No</v>
      </c>
      <c r="BW232" s="55">
        <v>82.426736731188996</v>
      </c>
      <c r="BX232" s="55">
        <v>77.854400125382028</v>
      </c>
      <c r="BY232" s="55">
        <v>82.171736731189</v>
      </c>
      <c r="BZ232" s="55">
        <f t="shared" si="116"/>
        <v>77.599400125382033</v>
      </c>
      <c r="CA232" s="45">
        <v>2000</v>
      </c>
      <c r="CB232" s="55">
        <f t="shared" si="120"/>
        <v>29.201896483603317</v>
      </c>
      <c r="CC232" s="71" t="s">
        <v>266</v>
      </c>
      <c r="CD232" s="46" t="s">
        <v>267</v>
      </c>
      <c r="CE232" s="71" t="s">
        <v>783</v>
      </c>
      <c r="CF232" s="71">
        <v>2</v>
      </c>
      <c r="CG232" s="46" t="str">
        <f t="shared" si="113"/>
        <v>No</v>
      </c>
      <c r="CH232" s="46" t="s">
        <v>35</v>
      </c>
      <c r="CI232" s="56">
        <v>500</v>
      </c>
      <c r="CJ232" s="46" t="s">
        <v>180</v>
      </c>
      <c r="CK232" s="79">
        <v>1000</v>
      </c>
      <c r="CL232" s="49" t="s">
        <v>29</v>
      </c>
      <c r="CM232" s="50">
        <v>0</v>
      </c>
      <c r="CN232" s="50"/>
      <c r="CO232" s="50"/>
      <c r="CP232" s="46" t="s">
        <v>23</v>
      </c>
      <c r="CQ232" s="46" t="s">
        <v>273</v>
      </c>
      <c r="CR232" s="46">
        <v>11</v>
      </c>
      <c r="CS232" s="46" t="s">
        <v>855</v>
      </c>
      <c r="CT232" s="46" t="s">
        <v>856</v>
      </c>
      <c r="CU232" s="46" t="s">
        <v>213</v>
      </c>
      <c r="CV232" s="46">
        <v>2</v>
      </c>
      <c r="CW232" s="46" t="s">
        <v>23</v>
      </c>
      <c r="CX232" s="49" t="s">
        <v>921</v>
      </c>
      <c r="CY232" s="49"/>
      <c r="CZ232" s="49">
        <v>0</v>
      </c>
      <c r="DA232" s="49">
        <v>0</v>
      </c>
      <c r="DB232" s="57">
        <v>50620</v>
      </c>
      <c r="DC232" s="58">
        <v>41.67</v>
      </c>
      <c r="DD232" s="58">
        <v>1.06</v>
      </c>
      <c r="DE232" s="58">
        <v>5</v>
      </c>
      <c r="DF232" s="58">
        <v>49.14</v>
      </c>
      <c r="DG232" s="58">
        <v>4.3935203476886606</v>
      </c>
      <c r="DH232" s="58">
        <v>58.329999999999991</v>
      </c>
      <c r="DI232" s="45" t="s">
        <v>35</v>
      </c>
      <c r="DJ232" s="59" t="str">
        <f t="shared" si="115"/>
        <v>No single majority group</v>
      </c>
      <c r="DK232" s="60">
        <v>50620</v>
      </c>
      <c r="DL232" s="58">
        <v>41.67</v>
      </c>
      <c r="DM232" s="58">
        <v>1.06</v>
      </c>
      <c r="DN232" s="58">
        <v>5</v>
      </c>
      <c r="DO232" s="58">
        <v>58.329999999999991</v>
      </c>
      <c r="DP232" s="82">
        <v>49.2</v>
      </c>
      <c r="DQ232" s="67">
        <v>75916.37</v>
      </c>
      <c r="DR232" s="58">
        <v>11.3</v>
      </c>
      <c r="DS232" s="58">
        <v>75.3</v>
      </c>
      <c r="DT232" s="53">
        <v>35</v>
      </c>
      <c r="DU232" s="55">
        <v>2.2999999999999998</v>
      </c>
      <c r="DV232" s="50">
        <v>36.5</v>
      </c>
      <c r="DW232" s="58">
        <v>81.2</v>
      </c>
      <c r="DX232" s="53">
        <v>79.629300000000001</v>
      </c>
      <c r="DY232" s="53">
        <v>35.761299999999999</v>
      </c>
      <c r="DZ232" s="63"/>
    </row>
    <row r="233" spans="1:130" s="5" customFormat="1" ht="14.25" customHeight="1">
      <c r="A233" s="45">
        <v>1261</v>
      </c>
      <c r="B233" s="46" t="s">
        <v>210</v>
      </c>
      <c r="C233" s="46">
        <v>2000</v>
      </c>
      <c r="D233" s="46" t="s">
        <v>219</v>
      </c>
      <c r="E233" s="46" t="s">
        <v>98</v>
      </c>
      <c r="F233" s="46">
        <v>4</v>
      </c>
      <c r="G233" s="48">
        <v>108000</v>
      </c>
      <c r="H233" s="46" t="s">
        <v>249</v>
      </c>
      <c r="I233" s="46">
        <v>1</v>
      </c>
      <c r="J233" s="46">
        <v>11</v>
      </c>
      <c r="K233" s="49" t="s">
        <v>275</v>
      </c>
      <c r="L233" s="49" t="s">
        <v>30</v>
      </c>
      <c r="M233" s="49" t="s">
        <v>29</v>
      </c>
      <c r="N233" s="49" t="s">
        <v>512</v>
      </c>
      <c r="O233" s="49"/>
      <c r="P233" s="49" t="s">
        <v>857</v>
      </c>
      <c r="Q233" s="49" t="s">
        <v>35</v>
      </c>
      <c r="R233" s="49">
        <v>1</v>
      </c>
      <c r="S233" s="50">
        <f t="shared" si="108"/>
        <v>9.0909090909090917</v>
      </c>
      <c r="T233" s="49">
        <v>2</v>
      </c>
      <c r="U233" s="50">
        <f t="shared" si="109"/>
        <v>18.181818181818183</v>
      </c>
      <c r="V233" s="49" t="s">
        <v>869</v>
      </c>
      <c r="W233" s="49">
        <v>0</v>
      </c>
      <c r="X233" s="50">
        <f t="shared" si="110"/>
        <v>0</v>
      </c>
      <c r="Y233" s="51" t="str">
        <f t="shared" si="111"/>
        <v>No</v>
      </c>
      <c r="Z233" s="49" t="s">
        <v>35</v>
      </c>
      <c r="AA233" s="49" t="s">
        <v>23</v>
      </c>
      <c r="AB233" s="49" t="s">
        <v>23</v>
      </c>
      <c r="AC233" s="46" t="s">
        <v>267</v>
      </c>
      <c r="AD233" s="46" t="s">
        <v>268</v>
      </c>
      <c r="AE233" s="46" t="s">
        <v>89</v>
      </c>
      <c r="AF233" s="46" t="s">
        <v>29</v>
      </c>
      <c r="AG233" s="103"/>
      <c r="AH233" s="52">
        <v>30125</v>
      </c>
      <c r="AI233" s="52">
        <v>15887</v>
      </c>
      <c r="AJ233" s="102">
        <v>42.3</v>
      </c>
      <c r="AK233" s="104">
        <v>84.6</v>
      </c>
      <c r="AL233" s="102">
        <v>65.36</v>
      </c>
      <c r="AM233" s="102"/>
      <c r="AN233" s="53">
        <f t="shared" si="112"/>
        <v>130.72</v>
      </c>
      <c r="AO233" s="53">
        <v>28.51</v>
      </c>
      <c r="AP233" s="102"/>
      <c r="AQ233" s="102"/>
      <c r="AR233" s="102"/>
      <c r="AS233" s="102"/>
      <c r="AT233" s="102"/>
      <c r="AU233" s="102"/>
      <c r="AV233" s="102"/>
      <c r="AW233" s="102"/>
      <c r="AX233" s="102"/>
      <c r="AY233" s="102"/>
      <c r="AZ233" s="102"/>
      <c r="BA233" s="102"/>
      <c r="BB233" s="102"/>
      <c r="BC233" s="102"/>
      <c r="BD233" s="102"/>
      <c r="BE233" s="102"/>
      <c r="BF233" s="102"/>
      <c r="BG233" s="102"/>
      <c r="BH233" s="102"/>
      <c r="BI233" s="102"/>
      <c r="BJ233" s="102"/>
      <c r="BK233" s="102"/>
      <c r="BL233" s="102"/>
      <c r="BM233" s="102"/>
      <c r="BN233" s="102">
        <v>42.3</v>
      </c>
      <c r="BO233" s="102">
        <f t="shared" si="121"/>
        <v>-14238</v>
      </c>
      <c r="BP233" s="102">
        <f t="shared" si="122"/>
        <v>-47.26307053941909</v>
      </c>
      <c r="BQ233" s="102" t="str">
        <f t="shared" si="123"/>
        <v>no</v>
      </c>
      <c r="BR233" s="102"/>
      <c r="BS233" s="54" t="s">
        <v>29</v>
      </c>
      <c r="BT233" s="45" t="str">
        <f t="shared" si="117"/>
        <v>Yes</v>
      </c>
      <c r="BU233" s="45" t="str">
        <f t="shared" si="118"/>
        <v>Yes</v>
      </c>
      <c r="BV233" s="45" t="str">
        <f t="shared" si="119"/>
        <v>No</v>
      </c>
      <c r="BW233" s="55">
        <v>82.426736731188996</v>
      </c>
      <c r="BX233" s="55">
        <v>90.984578884934749</v>
      </c>
      <c r="BY233" s="55">
        <v>82.171736731189</v>
      </c>
      <c r="BZ233" s="55">
        <f t="shared" si="116"/>
        <v>90.729578884934753</v>
      </c>
      <c r="CA233" s="45">
        <v>2000</v>
      </c>
      <c r="CB233" s="55">
        <f t="shared" si="120"/>
        <v>27.461928056559092</v>
      </c>
      <c r="CC233" s="71" t="s">
        <v>266</v>
      </c>
      <c r="CD233" s="46" t="s">
        <v>267</v>
      </c>
      <c r="CE233" s="71" t="s">
        <v>783</v>
      </c>
      <c r="CF233" s="71">
        <v>2</v>
      </c>
      <c r="CG233" s="46" t="str">
        <f t="shared" si="113"/>
        <v>No</v>
      </c>
      <c r="CH233" s="46" t="s">
        <v>35</v>
      </c>
      <c r="CI233" s="56">
        <v>500</v>
      </c>
      <c r="CJ233" s="46" t="s">
        <v>180</v>
      </c>
      <c r="CK233" s="79">
        <v>1000</v>
      </c>
      <c r="CL233" s="49" t="s">
        <v>29</v>
      </c>
      <c r="CM233" s="50">
        <v>0</v>
      </c>
      <c r="CN233" s="50"/>
      <c r="CO233" s="50"/>
      <c r="CP233" s="46" t="s">
        <v>23</v>
      </c>
      <c r="CQ233" s="46" t="s">
        <v>273</v>
      </c>
      <c r="CR233" s="46">
        <v>11</v>
      </c>
      <c r="CS233" s="46" t="s">
        <v>855</v>
      </c>
      <c r="CT233" s="46" t="s">
        <v>856</v>
      </c>
      <c r="CU233" s="46" t="s">
        <v>213</v>
      </c>
      <c r="CV233" s="46">
        <v>1</v>
      </c>
      <c r="CW233" s="46" t="s">
        <v>23</v>
      </c>
      <c r="CX233" s="49" t="s">
        <v>921</v>
      </c>
      <c r="CY233" s="49"/>
      <c r="CZ233" s="49">
        <v>0</v>
      </c>
      <c r="DA233" s="49">
        <v>0</v>
      </c>
      <c r="DB233" s="57">
        <v>57851</v>
      </c>
      <c r="DC233" s="58">
        <v>63.22</v>
      </c>
      <c r="DD233" s="58">
        <v>13.81</v>
      </c>
      <c r="DE233" s="58">
        <v>5.6000000000000005</v>
      </c>
      <c r="DF233" s="58">
        <v>13.18</v>
      </c>
      <c r="DG233" s="58">
        <v>6.0482964857997272</v>
      </c>
      <c r="DH233" s="58">
        <v>36.78</v>
      </c>
      <c r="DI233" s="45" t="s">
        <v>29</v>
      </c>
      <c r="DJ233" s="59" t="str">
        <f t="shared" si="115"/>
        <v>N/A</v>
      </c>
      <c r="DK233" s="60">
        <v>57851</v>
      </c>
      <c r="DL233" s="58">
        <v>63.22</v>
      </c>
      <c r="DM233" s="58">
        <v>13.81</v>
      </c>
      <c r="DN233" s="58">
        <v>5.6000000000000005</v>
      </c>
      <c r="DO233" s="58">
        <v>36.78</v>
      </c>
      <c r="DP233" s="82">
        <v>49.2</v>
      </c>
      <c r="DQ233" s="67">
        <v>75916.37</v>
      </c>
      <c r="DR233" s="58">
        <v>11.3</v>
      </c>
      <c r="DS233" s="58">
        <v>75.3</v>
      </c>
      <c r="DT233" s="53">
        <v>35</v>
      </c>
      <c r="DU233" s="55">
        <v>2.2999999999999998</v>
      </c>
      <c r="DV233" s="50">
        <v>36.5</v>
      </c>
      <c r="DW233" s="58">
        <v>81.2</v>
      </c>
      <c r="DX233" s="53">
        <v>79.629300000000001</v>
      </c>
      <c r="DY233" s="53">
        <v>35.761299999999999</v>
      </c>
      <c r="DZ233" s="63"/>
    </row>
    <row r="234" spans="1:130" s="5" customFormat="1" ht="14.25" customHeight="1">
      <c r="A234" s="45">
        <v>1262</v>
      </c>
      <c r="B234" s="46" t="s">
        <v>210</v>
      </c>
      <c r="C234" s="46">
        <v>2000</v>
      </c>
      <c r="D234" s="46" t="s">
        <v>219</v>
      </c>
      <c r="E234" s="71" t="s">
        <v>101</v>
      </c>
      <c r="F234" s="46">
        <v>2</v>
      </c>
      <c r="G234" s="48">
        <v>108000</v>
      </c>
      <c r="H234" s="46" t="s">
        <v>249</v>
      </c>
      <c r="I234" s="46">
        <v>1</v>
      </c>
      <c r="J234" s="46">
        <v>14</v>
      </c>
      <c r="K234" s="49" t="s">
        <v>256</v>
      </c>
      <c r="L234" s="49" t="s">
        <v>30</v>
      </c>
      <c r="M234" s="49" t="s">
        <v>29</v>
      </c>
      <c r="N234" s="49" t="s">
        <v>512</v>
      </c>
      <c r="O234" s="49"/>
      <c r="P234" s="49" t="s">
        <v>174</v>
      </c>
      <c r="Q234" s="49" t="s">
        <v>29</v>
      </c>
      <c r="R234" s="49">
        <v>4</v>
      </c>
      <c r="S234" s="50">
        <f t="shared" si="108"/>
        <v>28.571428571428569</v>
      </c>
      <c r="T234" s="49" t="str">
        <f>LEFT(V234,2)</f>
        <v xml:space="preserve">1 </v>
      </c>
      <c r="U234" s="50">
        <f t="shared" si="109"/>
        <v>7.1428571428571423</v>
      </c>
      <c r="V234" s="49" t="s">
        <v>858</v>
      </c>
      <c r="W234" s="49">
        <v>0</v>
      </c>
      <c r="X234" s="50">
        <f t="shared" si="110"/>
        <v>0</v>
      </c>
      <c r="Y234" s="51" t="str">
        <f t="shared" si="111"/>
        <v>No</v>
      </c>
      <c r="Z234" s="49" t="s">
        <v>35</v>
      </c>
      <c r="AA234" s="49" t="s">
        <v>23</v>
      </c>
      <c r="AB234" s="49" t="s">
        <v>23</v>
      </c>
      <c r="AC234" s="46" t="s">
        <v>267</v>
      </c>
      <c r="AD234" s="46" t="s">
        <v>268</v>
      </c>
      <c r="AE234" s="46" t="s">
        <v>89</v>
      </c>
      <c r="AF234" s="46" t="s">
        <v>29</v>
      </c>
      <c r="AG234" s="103"/>
      <c r="AH234" s="52">
        <v>18738</v>
      </c>
      <c r="AI234" s="52">
        <v>10470</v>
      </c>
      <c r="AJ234" s="102">
        <v>32.143000000000001</v>
      </c>
      <c r="AK234" s="104">
        <v>64.286000000000001</v>
      </c>
      <c r="AL234" s="102">
        <v>80.92</v>
      </c>
      <c r="AM234" s="102"/>
      <c r="AN234" s="53">
        <f t="shared" si="112"/>
        <v>161.84</v>
      </c>
      <c r="AO234" s="53">
        <v>16.64</v>
      </c>
      <c r="AP234" s="102"/>
      <c r="AQ234" s="102"/>
      <c r="AR234" s="102"/>
      <c r="AS234" s="102"/>
      <c r="AT234" s="102"/>
      <c r="AU234" s="102"/>
      <c r="AV234" s="102"/>
      <c r="AW234" s="102"/>
      <c r="AX234" s="102"/>
      <c r="AY234" s="102"/>
      <c r="AZ234" s="102"/>
      <c r="BA234" s="102"/>
      <c r="BB234" s="102"/>
      <c r="BC234" s="102"/>
      <c r="BD234" s="102"/>
      <c r="BE234" s="102"/>
      <c r="BF234" s="102"/>
      <c r="BG234" s="102"/>
      <c r="BH234" s="102"/>
      <c r="BI234" s="102"/>
      <c r="BJ234" s="102"/>
      <c r="BK234" s="102"/>
      <c r="BL234" s="102"/>
      <c r="BM234" s="102"/>
      <c r="BN234" s="102">
        <v>32.143000000000001</v>
      </c>
      <c r="BO234" s="102">
        <f t="shared" si="121"/>
        <v>-8268</v>
      </c>
      <c r="BP234" s="102">
        <f t="shared" si="122"/>
        <v>-44.124239513288508</v>
      </c>
      <c r="BQ234" s="102" t="str">
        <f t="shared" si="123"/>
        <v>no</v>
      </c>
      <c r="BR234" s="102"/>
      <c r="BS234" s="54" t="s">
        <v>29</v>
      </c>
      <c r="BT234" s="45" t="str">
        <f t="shared" si="117"/>
        <v>Yes</v>
      </c>
      <c r="BU234" s="45" t="str">
        <f t="shared" si="118"/>
        <v>No</v>
      </c>
      <c r="BV234" s="45" t="str">
        <f t="shared" si="119"/>
        <v>No</v>
      </c>
      <c r="BW234" s="55">
        <v>82.426736731188996</v>
      </c>
      <c r="BX234" s="55">
        <v>86.997087426568598</v>
      </c>
      <c r="BY234" s="55">
        <v>82.171736731189</v>
      </c>
      <c r="BZ234" s="55">
        <f t="shared" si="116"/>
        <v>86.742087426568602</v>
      </c>
      <c r="CA234" s="45">
        <v>2000</v>
      </c>
      <c r="CB234" s="55">
        <f t="shared" si="120"/>
        <v>21.319052758037916</v>
      </c>
      <c r="CC234" s="71" t="s">
        <v>266</v>
      </c>
      <c r="CD234" s="46" t="s">
        <v>267</v>
      </c>
      <c r="CE234" s="71" t="s">
        <v>783</v>
      </c>
      <c r="CF234" s="71">
        <v>2</v>
      </c>
      <c r="CG234" s="46" t="str">
        <f t="shared" si="113"/>
        <v>No</v>
      </c>
      <c r="CH234" s="46" t="s">
        <v>35</v>
      </c>
      <c r="CI234" s="56">
        <v>500</v>
      </c>
      <c r="CJ234" s="46" t="s">
        <v>180</v>
      </c>
      <c r="CK234" s="79">
        <v>1000</v>
      </c>
      <c r="CL234" s="49" t="s">
        <v>29</v>
      </c>
      <c r="CM234" s="50">
        <v>0</v>
      </c>
      <c r="CN234" s="50"/>
      <c r="CO234" s="50"/>
      <c r="CP234" s="46" t="s">
        <v>23</v>
      </c>
      <c r="CQ234" s="46" t="s">
        <v>273</v>
      </c>
      <c r="CR234" s="46">
        <v>11</v>
      </c>
      <c r="CS234" s="46" t="s">
        <v>855</v>
      </c>
      <c r="CT234" s="46" t="s">
        <v>856</v>
      </c>
      <c r="CU234" s="46" t="s">
        <v>213</v>
      </c>
      <c r="CV234" s="46">
        <v>2</v>
      </c>
      <c r="CW234" s="46" t="s">
        <v>23</v>
      </c>
      <c r="CX234" s="49" t="s">
        <v>921</v>
      </c>
      <c r="CY234" s="49"/>
      <c r="CZ234" s="49">
        <v>0</v>
      </c>
      <c r="DA234" s="49">
        <v>0</v>
      </c>
      <c r="DB234" s="57">
        <v>49111</v>
      </c>
      <c r="DC234" s="58">
        <v>49.97</v>
      </c>
      <c r="DD234" s="58">
        <v>14.000000000000002</v>
      </c>
      <c r="DE234" s="58">
        <v>11.020000000000001</v>
      </c>
      <c r="DF234" s="58">
        <v>19.5</v>
      </c>
      <c r="DG234" s="58">
        <v>7.0798802712223328</v>
      </c>
      <c r="DH234" s="58">
        <v>50.029999999999994</v>
      </c>
      <c r="DI234" s="45" t="s">
        <v>35</v>
      </c>
      <c r="DJ234" s="59" t="str">
        <f t="shared" si="115"/>
        <v>No single majority group</v>
      </c>
      <c r="DK234" s="60">
        <v>49111</v>
      </c>
      <c r="DL234" s="58">
        <v>49.97</v>
      </c>
      <c r="DM234" s="58">
        <v>14.000000000000002</v>
      </c>
      <c r="DN234" s="58">
        <v>11.020000000000001</v>
      </c>
      <c r="DO234" s="58">
        <v>50.029999999999994</v>
      </c>
      <c r="DP234" s="82">
        <v>49.2</v>
      </c>
      <c r="DQ234" s="67">
        <v>75916.37</v>
      </c>
      <c r="DR234" s="58">
        <v>11.3</v>
      </c>
      <c r="DS234" s="58">
        <v>75.3</v>
      </c>
      <c r="DT234" s="53">
        <v>35</v>
      </c>
      <c r="DU234" s="55">
        <v>2.2999999999999998</v>
      </c>
      <c r="DV234" s="50">
        <v>36.5</v>
      </c>
      <c r="DW234" s="58">
        <v>81.2</v>
      </c>
      <c r="DX234" s="53">
        <v>79.629300000000001</v>
      </c>
      <c r="DY234" s="53">
        <v>35.761299999999999</v>
      </c>
      <c r="DZ234" s="63"/>
    </row>
    <row r="235" spans="1:130" s="5" customFormat="1" ht="14.25" customHeight="1">
      <c r="A235" s="45">
        <v>1263</v>
      </c>
      <c r="B235" s="46" t="s">
        <v>210</v>
      </c>
      <c r="C235" s="46">
        <v>2000</v>
      </c>
      <c r="D235" s="46" t="s">
        <v>219</v>
      </c>
      <c r="E235" s="46" t="s">
        <v>83</v>
      </c>
      <c r="F235" s="46">
        <v>4</v>
      </c>
      <c r="G235" s="48">
        <v>108000</v>
      </c>
      <c r="H235" s="46" t="s">
        <v>249</v>
      </c>
      <c r="I235" s="46">
        <v>1</v>
      </c>
      <c r="J235" s="46">
        <v>6</v>
      </c>
      <c r="K235" s="49" t="s">
        <v>276</v>
      </c>
      <c r="L235" s="49" t="s">
        <v>30</v>
      </c>
      <c r="M235" s="49" t="s">
        <v>29</v>
      </c>
      <c r="N235" s="49" t="s">
        <v>512</v>
      </c>
      <c r="O235" s="49"/>
      <c r="P235" s="49" t="s">
        <v>174</v>
      </c>
      <c r="Q235" s="49" t="s">
        <v>29</v>
      </c>
      <c r="R235" s="49">
        <v>1</v>
      </c>
      <c r="S235" s="50">
        <f t="shared" si="108"/>
        <v>16.666666666666664</v>
      </c>
      <c r="T235" s="49">
        <v>1</v>
      </c>
      <c r="U235" s="50">
        <f t="shared" si="109"/>
        <v>16.666666666666664</v>
      </c>
      <c r="V235" s="49" t="s">
        <v>173</v>
      </c>
      <c r="W235" s="49">
        <v>1</v>
      </c>
      <c r="X235" s="50">
        <f t="shared" si="110"/>
        <v>16.666666666666664</v>
      </c>
      <c r="Y235" s="51" t="str">
        <f t="shared" si="111"/>
        <v>No</v>
      </c>
      <c r="Z235" s="49" t="s">
        <v>35</v>
      </c>
      <c r="AA235" s="49" t="s">
        <v>23</v>
      </c>
      <c r="AB235" s="49" t="s">
        <v>23</v>
      </c>
      <c r="AC235" s="46" t="s">
        <v>267</v>
      </c>
      <c r="AD235" s="46" t="s">
        <v>268</v>
      </c>
      <c r="AE235" s="46" t="s">
        <v>89</v>
      </c>
      <c r="AF235" s="46" t="s">
        <v>29</v>
      </c>
      <c r="AG235" s="103"/>
      <c r="AH235" s="52">
        <v>30229</v>
      </c>
      <c r="AI235" s="52">
        <v>18627</v>
      </c>
      <c r="AJ235" s="102">
        <v>22.18</v>
      </c>
      <c r="AK235" s="104">
        <v>44.36</v>
      </c>
      <c r="AL235" s="102">
        <v>50.1</v>
      </c>
      <c r="AM235" s="102"/>
      <c r="AN235" s="53">
        <f t="shared" si="112"/>
        <v>100.2</v>
      </c>
      <c r="AO235" s="53">
        <v>43.89</v>
      </c>
      <c r="AP235" s="102"/>
      <c r="AQ235" s="102"/>
      <c r="AR235" s="102"/>
      <c r="AS235" s="102"/>
      <c r="AT235" s="102"/>
      <c r="AU235" s="102"/>
      <c r="AV235" s="102"/>
      <c r="AW235" s="102"/>
      <c r="AX235" s="102"/>
      <c r="AY235" s="102"/>
      <c r="AZ235" s="102"/>
      <c r="BA235" s="102"/>
      <c r="BB235" s="102"/>
      <c r="BC235" s="102"/>
      <c r="BD235" s="102"/>
      <c r="BE235" s="102"/>
      <c r="BF235" s="102"/>
      <c r="BG235" s="102"/>
      <c r="BH235" s="102"/>
      <c r="BI235" s="102"/>
      <c r="BJ235" s="102"/>
      <c r="BK235" s="102"/>
      <c r="BL235" s="102"/>
      <c r="BM235" s="102"/>
      <c r="BN235" s="102">
        <v>43.89</v>
      </c>
      <c r="BO235" s="102">
        <f t="shared" si="121"/>
        <v>-11602</v>
      </c>
      <c r="BP235" s="102">
        <f t="shared" si="122"/>
        <v>-38.380363227364448</v>
      </c>
      <c r="BQ235" s="102" t="str">
        <f t="shared" si="123"/>
        <v>yes</v>
      </c>
      <c r="BR235" s="102"/>
      <c r="BS235" s="54" t="s">
        <v>35</v>
      </c>
      <c r="BT235" s="45" t="str">
        <f t="shared" si="117"/>
        <v>Yes</v>
      </c>
      <c r="BU235" s="45" t="str">
        <f t="shared" si="118"/>
        <v>Yes</v>
      </c>
      <c r="BV235" s="45" t="str">
        <f t="shared" si="119"/>
        <v>No</v>
      </c>
      <c r="BW235" s="55">
        <v>82.426736731188996</v>
      </c>
      <c r="BX235" s="55">
        <v>73.604239154722762</v>
      </c>
      <c r="BY235" s="55">
        <v>82.171736731189</v>
      </c>
      <c r="BZ235" s="55">
        <f t="shared" si="116"/>
        <v>73.349239154722767</v>
      </c>
      <c r="CA235" s="45">
        <v>2000</v>
      </c>
      <c r="CB235" s="55">
        <f t="shared" si="120"/>
        <v>35.472567652491861</v>
      </c>
      <c r="CC235" s="71" t="s">
        <v>266</v>
      </c>
      <c r="CD235" s="46" t="s">
        <v>267</v>
      </c>
      <c r="CE235" s="71" t="s">
        <v>783</v>
      </c>
      <c r="CF235" s="71">
        <v>2</v>
      </c>
      <c r="CG235" s="46" t="str">
        <f t="shared" si="113"/>
        <v>No</v>
      </c>
      <c r="CH235" s="46" t="s">
        <v>35</v>
      </c>
      <c r="CI235" s="56">
        <v>500</v>
      </c>
      <c r="CJ235" s="46" t="s">
        <v>180</v>
      </c>
      <c r="CK235" s="79">
        <v>1000</v>
      </c>
      <c r="CL235" s="49" t="s">
        <v>29</v>
      </c>
      <c r="CM235" s="50">
        <v>0</v>
      </c>
      <c r="CN235" s="50"/>
      <c r="CO235" s="50"/>
      <c r="CP235" s="46" t="s">
        <v>23</v>
      </c>
      <c r="CQ235" s="46" t="s">
        <v>273</v>
      </c>
      <c r="CR235" s="46">
        <v>11</v>
      </c>
      <c r="CS235" s="46" t="s">
        <v>855</v>
      </c>
      <c r="CT235" s="46" t="s">
        <v>856</v>
      </c>
      <c r="CU235" s="46" t="s">
        <v>213</v>
      </c>
      <c r="CV235" s="46">
        <v>1</v>
      </c>
      <c r="CW235" s="46" t="s">
        <v>23</v>
      </c>
      <c r="CX235" s="49" t="s">
        <v>921</v>
      </c>
      <c r="CY235" s="49"/>
      <c r="CZ235" s="49">
        <v>0</v>
      </c>
      <c r="DA235" s="49">
        <v>0</v>
      </c>
      <c r="DB235" s="57">
        <v>52511</v>
      </c>
      <c r="DC235" s="58">
        <v>59.4</v>
      </c>
      <c r="DD235" s="58">
        <v>3.83</v>
      </c>
      <c r="DE235" s="58">
        <v>7.13</v>
      </c>
      <c r="DF235" s="58">
        <v>26.52</v>
      </c>
      <c r="DG235" s="58">
        <v>4.4981051589190839</v>
      </c>
      <c r="DH235" s="58">
        <v>40.6</v>
      </c>
      <c r="DI235" s="45" t="s">
        <v>29</v>
      </c>
      <c r="DJ235" s="59" t="str">
        <f t="shared" si="115"/>
        <v>N/A</v>
      </c>
      <c r="DK235" s="60">
        <v>52511</v>
      </c>
      <c r="DL235" s="58">
        <v>59.4</v>
      </c>
      <c r="DM235" s="58">
        <v>3.83</v>
      </c>
      <c r="DN235" s="58">
        <v>7.13</v>
      </c>
      <c r="DO235" s="58">
        <v>40.6</v>
      </c>
      <c r="DP235" s="82">
        <v>49.2</v>
      </c>
      <c r="DQ235" s="67">
        <v>75916.37</v>
      </c>
      <c r="DR235" s="58">
        <v>11.3</v>
      </c>
      <c r="DS235" s="58">
        <v>75.3</v>
      </c>
      <c r="DT235" s="53">
        <v>35</v>
      </c>
      <c r="DU235" s="55">
        <v>2.2999999999999998</v>
      </c>
      <c r="DV235" s="50">
        <v>36.5</v>
      </c>
      <c r="DW235" s="58">
        <v>81.2</v>
      </c>
      <c r="DX235" s="53">
        <v>79.629300000000001</v>
      </c>
      <c r="DY235" s="53">
        <v>35.761299999999999</v>
      </c>
      <c r="DZ235" s="63"/>
    </row>
    <row r="236" spans="1:130" s="5" customFormat="1" ht="14.25" customHeight="1">
      <c r="A236" s="45">
        <v>1264</v>
      </c>
      <c r="B236" s="46" t="s">
        <v>210</v>
      </c>
      <c r="C236" s="46">
        <v>2000</v>
      </c>
      <c r="D236" s="46" t="s">
        <v>219</v>
      </c>
      <c r="E236" s="71" t="s">
        <v>86</v>
      </c>
      <c r="F236" s="46">
        <v>2</v>
      </c>
      <c r="G236" s="48">
        <v>108000</v>
      </c>
      <c r="H236" s="46" t="s">
        <v>249</v>
      </c>
      <c r="I236" s="46">
        <v>1</v>
      </c>
      <c r="J236" s="46">
        <v>6</v>
      </c>
      <c r="K236" s="49" t="s">
        <v>277</v>
      </c>
      <c r="L236" s="49" t="s">
        <v>30</v>
      </c>
      <c r="M236" s="49" t="s">
        <v>29</v>
      </c>
      <c r="N236" s="49" t="s">
        <v>512</v>
      </c>
      <c r="O236" s="49"/>
      <c r="P236" s="49" t="s">
        <v>174</v>
      </c>
      <c r="Q236" s="49" t="s">
        <v>29</v>
      </c>
      <c r="R236" s="49">
        <v>1</v>
      </c>
      <c r="S236" s="50">
        <f t="shared" si="108"/>
        <v>16.666666666666664</v>
      </c>
      <c r="T236" s="49" t="str">
        <f>LEFT(V236,2)</f>
        <v>0</v>
      </c>
      <c r="U236" s="50">
        <f t="shared" si="109"/>
        <v>0</v>
      </c>
      <c r="V236" s="49">
        <v>0</v>
      </c>
      <c r="W236" s="49">
        <v>0</v>
      </c>
      <c r="X236" s="50">
        <f t="shared" si="110"/>
        <v>0</v>
      </c>
      <c r="Y236" s="51" t="str">
        <f t="shared" si="111"/>
        <v>No</v>
      </c>
      <c r="Z236" s="49" t="s">
        <v>35</v>
      </c>
      <c r="AA236" s="49" t="s">
        <v>23</v>
      </c>
      <c r="AB236" s="49" t="s">
        <v>23</v>
      </c>
      <c r="AC236" s="46" t="s">
        <v>267</v>
      </c>
      <c r="AD236" s="46" t="s">
        <v>268</v>
      </c>
      <c r="AE236" s="46" t="s">
        <v>89</v>
      </c>
      <c r="AF236" s="46" t="s">
        <v>29</v>
      </c>
      <c r="AG236" s="103"/>
      <c r="AH236" s="52">
        <v>34178</v>
      </c>
      <c r="AI236" s="52">
        <v>18444</v>
      </c>
      <c r="AJ236" s="102">
        <v>49.89</v>
      </c>
      <c r="AK236" s="104">
        <v>99.78</v>
      </c>
      <c r="AL236" s="102">
        <v>51.93</v>
      </c>
      <c r="AM236" s="102"/>
      <c r="AN236" s="53">
        <f t="shared" si="112"/>
        <v>103.86</v>
      </c>
      <c r="AO236" s="53">
        <v>33.74</v>
      </c>
      <c r="AP236" s="102"/>
      <c r="AQ236" s="102"/>
      <c r="AR236" s="102"/>
      <c r="AS236" s="102"/>
      <c r="AT236" s="102"/>
      <c r="AU236" s="102"/>
      <c r="AV236" s="102"/>
      <c r="AW236" s="102"/>
      <c r="AX236" s="102"/>
      <c r="AY236" s="102"/>
      <c r="AZ236" s="102"/>
      <c r="BA236" s="102"/>
      <c r="BB236" s="102"/>
      <c r="BC236" s="102"/>
      <c r="BD236" s="102"/>
      <c r="BE236" s="102"/>
      <c r="BF236" s="102"/>
      <c r="BG236" s="102"/>
      <c r="BH236" s="102"/>
      <c r="BI236" s="102"/>
      <c r="BJ236" s="102"/>
      <c r="BK236" s="102"/>
      <c r="BL236" s="102"/>
      <c r="BM236" s="102"/>
      <c r="BN236" s="102">
        <v>49.89</v>
      </c>
      <c r="BO236" s="102">
        <f t="shared" si="121"/>
        <v>-15734</v>
      </c>
      <c r="BP236" s="102">
        <f t="shared" si="122"/>
        <v>-46.035461407923222</v>
      </c>
      <c r="BQ236" s="102" t="str">
        <f t="shared" si="123"/>
        <v>no</v>
      </c>
      <c r="BR236" s="102"/>
      <c r="BS236" s="54" t="s">
        <v>29</v>
      </c>
      <c r="BT236" s="45" t="str">
        <f t="shared" si="117"/>
        <v>Yes</v>
      </c>
      <c r="BU236" s="45" t="str">
        <f t="shared" si="118"/>
        <v>Yes</v>
      </c>
      <c r="BV236" s="45" t="str">
        <f t="shared" si="119"/>
        <v>No</v>
      </c>
      <c r="BW236" s="55">
        <v>82.426736731188996</v>
      </c>
      <c r="BX236" s="55">
        <v>90.434857339291852</v>
      </c>
      <c r="BY236" s="55">
        <v>82.171736731189</v>
      </c>
      <c r="BZ236" s="55">
        <f t="shared" si="116"/>
        <v>90.179857339291857</v>
      </c>
      <c r="CA236" s="45">
        <v>2000</v>
      </c>
      <c r="CB236" s="55">
        <f t="shared" si="120"/>
        <v>31.814261565529371</v>
      </c>
      <c r="CC236" s="71" t="s">
        <v>266</v>
      </c>
      <c r="CD236" s="46" t="s">
        <v>267</v>
      </c>
      <c r="CE236" s="71" t="s">
        <v>783</v>
      </c>
      <c r="CF236" s="71">
        <v>2</v>
      </c>
      <c r="CG236" s="46" t="str">
        <f t="shared" si="113"/>
        <v>No</v>
      </c>
      <c r="CH236" s="46" t="s">
        <v>35</v>
      </c>
      <c r="CI236" s="56">
        <v>500</v>
      </c>
      <c r="CJ236" s="46" t="s">
        <v>180</v>
      </c>
      <c r="CK236" s="79">
        <v>1000</v>
      </c>
      <c r="CL236" s="49" t="s">
        <v>29</v>
      </c>
      <c r="CM236" s="50">
        <v>0</v>
      </c>
      <c r="CN236" s="50"/>
      <c r="CO236" s="50"/>
      <c r="CP236" s="46" t="s">
        <v>23</v>
      </c>
      <c r="CQ236" s="46" t="s">
        <v>273</v>
      </c>
      <c r="CR236" s="46">
        <v>11</v>
      </c>
      <c r="CS236" s="46" t="s">
        <v>855</v>
      </c>
      <c r="CT236" s="46" t="s">
        <v>856</v>
      </c>
      <c r="CU236" s="46" t="s">
        <v>213</v>
      </c>
      <c r="CV236" s="46">
        <v>2</v>
      </c>
      <c r="CW236" s="46" t="s">
        <v>23</v>
      </c>
      <c r="CX236" s="49" t="s">
        <v>921</v>
      </c>
      <c r="CY236" s="49"/>
      <c r="CZ236" s="49">
        <v>0</v>
      </c>
      <c r="DA236" s="49">
        <v>0</v>
      </c>
      <c r="DB236" s="57">
        <v>57974</v>
      </c>
      <c r="DC236" s="58">
        <v>74.11999999999999</v>
      </c>
      <c r="DD236" s="58">
        <v>3.92</v>
      </c>
      <c r="DE236" s="58">
        <v>9.99</v>
      </c>
      <c r="DF236" s="58">
        <v>8.1100000000000012</v>
      </c>
      <c r="DG236" s="58">
        <v>5.1436851002173389</v>
      </c>
      <c r="DH236" s="58">
        <v>25.880000000000003</v>
      </c>
      <c r="DI236" s="45" t="s">
        <v>29</v>
      </c>
      <c r="DJ236" s="59" t="str">
        <f t="shared" si="115"/>
        <v>N/A</v>
      </c>
      <c r="DK236" s="60">
        <v>57974</v>
      </c>
      <c r="DL236" s="58">
        <v>74.11999999999999</v>
      </c>
      <c r="DM236" s="58">
        <v>3.92</v>
      </c>
      <c r="DN236" s="58">
        <v>9.99</v>
      </c>
      <c r="DO236" s="58">
        <v>25.880000000000003</v>
      </c>
      <c r="DP236" s="82">
        <v>49.2</v>
      </c>
      <c r="DQ236" s="67">
        <v>75916.37</v>
      </c>
      <c r="DR236" s="58">
        <v>11.3</v>
      </c>
      <c r="DS236" s="58">
        <v>75.3</v>
      </c>
      <c r="DT236" s="53">
        <v>35</v>
      </c>
      <c r="DU236" s="55">
        <v>2.2999999999999998</v>
      </c>
      <c r="DV236" s="50">
        <v>36.5</v>
      </c>
      <c r="DW236" s="58">
        <v>81.2</v>
      </c>
      <c r="DX236" s="53">
        <v>79.629300000000001</v>
      </c>
      <c r="DY236" s="53">
        <v>35.761299999999999</v>
      </c>
      <c r="DZ236" s="63"/>
    </row>
    <row r="237" spans="1:130" s="5" customFormat="1" ht="14.25" customHeight="1">
      <c r="A237" s="45">
        <v>1265</v>
      </c>
      <c r="B237" s="46" t="s">
        <v>210</v>
      </c>
      <c r="C237" s="46">
        <v>2000</v>
      </c>
      <c r="D237" s="46" t="s">
        <v>219</v>
      </c>
      <c r="E237" s="46" t="s">
        <v>236</v>
      </c>
      <c r="F237" s="46">
        <v>4</v>
      </c>
      <c r="G237" s="48">
        <v>108000</v>
      </c>
      <c r="H237" s="46" t="s">
        <v>249</v>
      </c>
      <c r="I237" s="46">
        <v>1</v>
      </c>
      <c r="J237" s="46">
        <v>5</v>
      </c>
      <c r="K237" s="49" t="s">
        <v>264</v>
      </c>
      <c r="L237" s="49" t="s">
        <v>30</v>
      </c>
      <c r="M237" s="49" t="s">
        <v>29</v>
      </c>
      <c r="N237" s="49" t="s">
        <v>512</v>
      </c>
      <c r="O237" s="49"/>
      <c r="P237" s="49" t="s">
        <v>174</v>
      </c>
      <c r="Q237" s="49" t="s">
        <v>29</v>
      </c>
      <c r="R237" s="49">
        <v>3</v>
      </c>
      <c r="S237" s="50">
        <f t="shared" si="108"/>
        <v>60</v>
      </c>
      <c r="T237" s="49">
        <v>2</v>
      </c>
      <c r="U237" s="50">
        <f t="shared" si="109"/>
        <v>40</v>
      </c>
      <c r="V237" s="49" t="s">
        <v>794</v>
      </c>
      <c r="W237" s="49">
        <v>2</v>
      </c>
      <c r="X237" s="50">
        <f t="shared" si="110"/>
        <v>40</v>
      </c>
      <c r="Y237" s="51" t="str">
        <f t="shared" si="111"/>
        <v>No</v>
      </c>
      <c r="Z237" s="49" t="s">
        <v>35</v>
      </c>
      <c r="AA237" s="49" t="s">
        <v>23</v>
      </c>
      <c r="AB237" s="49" t="s">
        <v>23</v>
      </c>
      <c r="AC237" s="46" t="s">
        <v>26</v>
      </c>
      <c r="AD237" s="46" t="s">
        <v>27</v>
      </c>
      <c r="AE237" s="46" t="s">
        <v>89</v>
      </c>
      <c r="AF237" s="46" t="s">
        <v>29</v>
      </c>
      <c r="AG237" s="103"/>
      <c r="AH237" s="52">
        <v>20972</v>
      </c>
      <c r="AI237" s="52">
        <v>20972</v>
      </c>
      <c r="AJ237" s="102">
        <v>68.16</v>
      </c>
      <c r="AK237" s="104">
        <v>136.32</v>
      </c>
      <c r="AL237" s="102">
        <v>68.16</v>
      </c>
      <c r="AM237" s="102"/>
      <c r="AN237" s="53">
        <f t="shared" si="112"/>
        <v>136.32</v>
      </c>
      <c r="AO237" s="53">
        <v>14.17</v>
      </c>
      <c r="AP237" s="102"/>
      <c r="AQ237" s="102"/>
      <c r="AR237" s="102"/>
      <c r="AS237" s="102"/>
      <c r="AT237" s="102"/>
      <c r="AU237" s="102"/>
      <c r="AV237" s="102"/>
      <c r="AW237" s="102"/>
      <c r="AX237" s="102"/>
      <c r="AY237" s="102"/>
      <c r="AZ237" s="102"/>
      <c r="BA237" s="102"/>
      <c r="BB237" s="102"/>
      <c r="BC237" s="102"/>
      <c r="BD237" s="102"/>
      <c r="BE237" s="102"/>
      <c r="BF237" s="102"/>
      <c r="BG237" s="102"/>
      <c r="BH237" s="102"/>
      <c r="BI237" s="102"/>
      <c r="BJ237" s="102"/>
      <c r="BK237" s="102"/>
      <c r="BL237" s="102"/>
      <c r="BM237" s="102"/>
      <c r="BN237" s="102"/>
      <c r="BO237" s="102">
        <v>-9115</v>
      </c>
      <c r="BP237" s="102">
        <v>-46.119206638332322</v>
      </c>
      <c r="BQ237" s="102"/>
      <c r="BR237" s="102"/>
      <c r="BS237" s="54" t="s">
        <v>29</v>
      </c>
      <c r="BT237" s="45" t="str">
        <f t="shared" si="117"/>
        <v>No</v>
      </c>
      <c r="BU237" s="45" t="str">
        <f t="shared" si="118"/>
        <v>No</v>
      </c>
      <c r="BV237" s="45" t="str">
        <f t="shared" si="119"/>
        <v>No</v>
      </c>
      <c r="BW237" s="55">
        <v>82.426736731188996</v>
      </c>
      <c r="BX237" s="55">
        <v>90.692172162094124</v>
      </c>
      <c r="BY237" s="55">
        <v>82.171736731189</v>
      </c>
      <c r="BZ237" s="55">
        <f t="shared" si="116"/>
        <v>90.437172162094129</v>
      </c>
      <c r="CA237" s="45">
        <v>2000</v>
      </c>
      <c r="CB237" s="55">
        <f t="shared" si="120"/>
        <v>53.376091216818097</v>
      </c>
      <c r="CC237" s="71" t="s">
        <v>266</v>
      </c>
      <c r="CD237" s="46" t="s">
        <v>267</v>
      </c>
      <c r="CE237" s="71" t="s">
        <v>783</v>
      </c>
      <c r="CF237" s="71">
        <v>2</v>
      </c>
      <c r="CG237" s="46" t="str">
        <f t="shared" si="113"/>
        <v>No</v>
      </c>
      <c r="CH237" s="46" t="s">
        <v>35</v>
      </c>
      <c r="CI237" s="56">
        <v>500</v>
      </c>
      <c r="CJ237" s="46" t="s">
        <v>180</v>
      </c>
      <c r="CK237" s="79">
        <v>1000</v>
      </c>
      <c r="CL237" s="49" t="s">
        <v>29</v>
      </c>
      <c r="CM237" s="50">
        <v>0</v>
      </c>
      <c r="CN237" s="50"/>
      <c r="CO237" s="50"/>
      <c r="CP237" s="46" t="s">
        <v>23</v>
      </c>
      <c r="CQ237" s="46" t="s">
        <v>273</v>
      </c>
      <c r="CR237" s="46">
        <v>11</v>
      </c>
      <c r="CS237" s="46" t="s">
        <v>855</v>
      </c>
      <c r="CT237" s="46" t="s">
        <v>856</v>
      </c>
      <c r="CU237" s="46" t="s">
        <v>213</v>
      </c>
      <c r="CV237" s="46">
        <v>1</v>
      </c>
      <c r="CW237" s="46" t="s">
        <v>23</v>
      </c>
      <c r="CX237" s="49" t="s">
        <v>921</v>
      </c>
      <c r="CY237" s="49"/>
      <c r="CZ237" s="49">
        <v>0</v>
      </c>
      <c r="DA237" s="49">
        <v>0</v>
      </c>
      <c r="DB237" s="57">
        <v>39291</v>
      </c>
      <c r="DC237" s="58">
        <v>39.97</v>
      </c>
      <c r="DD237" s="58">
        <v>5.47</v>
      </c>
      <c r="DE237" s="58">
        <v>26.279999999999998</v>
      </c>
      <c r="DF237" s="58">
        <v>24.169999999999998</v>
      </c>
      <c r="DG237" s="58">
        <v>5.1945738209768137</v>
      </c>
      <c r="DH237" s="58">
        <v>60.030000000000008</v>
      </c>
      <c r="DI237" s="45" t="s">
        <v>35</v>
      </c>
      <c r="DJ237" s="59" t="str">
        <f t="shared" si="115"/>
        <v>No single majority group</v>
      </c>
      <c r="DK237" s="60">
        <v>39291</v>
      </c>
      <c r="DL237" s="58">
        <v>39.97</v>
      </c>
      <c r="DM237" s="58">
        <v>5.47</v>
      </c>
      <c r="DN237" s="58">
        <v>26.279999999999998</v>
      </c>
      <c r="DO237" s="58">
        <v>60.030000000000008</v>
      </c>
      <c r="DP237" s="82">
        <v>49.2</v>
      </c>
      <c r="DQ237" s="67">
        <v>75916.37</v>
      </c>
      <c r="DR237" s="58">
        <v>11.3</v>
      </c>
      <c r="DS237" s="58">
        <v>75.3</v>
      </c>
      <c r="DT237" s="53">
        <v>35</v>
      </c>
      <c r="DU237" s="55">
        <v>2.2999999999999998</v>
      </c>
      <c r="DV237" s="50">
        <v>36.5</v>
      </c>
      <c r="DW237" s="58">
        <v>81.2</v>
      </c>
      <c r="DX237" s="53">
        <v>79.629300000000001</v>
      </c>
      <c r="DY237" s="53">
        <v>35.761299999999999</v>
      </c>
      <c r="DZ237" s="63"/>
    </row>
    <row r="238" spans="1:130" s="5" customFormat="1" ht="14.25" customHeight="1">
      <c r="A238" s="45">
        <v>1266</v>
      </c>
      <c r="B238" s="46" t="s">
        <v>210</v>
      </c>
      <c r="C238" s="46">
        <v>2000</v>
      </c>
      <c r="D238" s="46" t="s">
        <v>219</v>
      </c>
      <c r="E238" s="46" t="s">
        <v>224</v>
      </c>
      <c r="F238" s="46">
        <v>2</v>
      </c>
      <c r="G238" s="48">
        <v>108000</v>
      </c>
      <c r="H238" s="46" t="s">
        <v>249</v>
      </c>
      <c r="I238" s="46">
        <v>1</v>
      </c>
      <c r="J238" s="46">
        <v>12</v>
      </c>
      <c r="K238" s="49" t="s">
        <v>258</v>
      </c>
      <c r="L238" s="49" t="s">
        <v>40</v>
      </c>
      <c r="M238" s="49" t="s">
        <v>35</v>
      </c>
      <c r="N238" s="49" t="s">
        <v>512</v>
      </c>
      <c r="O238" s="49"/>
      <c r="P238" s="49" t="s">
        <v>201</v>
      </c>
      <c r="Q238" s="49" t="s">
        <v>35</v>
      </c>
      <c r="R238" s="49">
        <v>4</v>
      </c>
      <c r="S238" s="50">
        <f t="shared" ref="S238:S269" si="124">(R238/J238)*100</f>
        <v>33.333333333333329</v>
      </c>
      <c r="T238" s="49">
        <v>8</v>
      </c>
      <c r="U238" s="50">
        <f t="shared" ref="U238:U269" si="125">(T238/J238)*100</f>
        <v>66.666666666666657</v>
      </c>
      <c r="V238" s="81" t="s">
        <v>881</v>
      </c>
      <c r="W238" s="49">
        <v>4</v>
      </c>
      <c r="X238" s="50">
        <f t="shared" ref="X238:X269" si="126">(W238/J238)*100</f>
        <v>33.333333333333329</v>
      </c>
      <c r="Y238" s="51" t="str">
        <f t="shared" ref="Y238:Y269" si="127">IF(L238="M","No", IF(P238="n/a","No",IF(P238="white","No","Yes")))</f>
        <v>Yes</v>
      </c>
      <c r="Z238" s="49" t="s">
        <v>35</v>
      </c>
      <c r="AA238" s="49" t="s">
        <v>23</v>
      </c>
      <c r="AB238" s="49" t="s">
        <v>23</v>
      </c>
      <c r="AC238" s="46" t="s">
        <v>267</v>
      </c>
      <c r="AD238" s="46" t="s">
        <v>268</v>
      </c>
      <c r="AE238" s="46" t="s">
        <v>89</v>
      </c>
      <c r="AF238" s="46" t="s">
        <v>29</v>
      </c>
      <c r="AG238" s="103"/>
      <c r="AH238" s="52">
        <v>19764</v>
      </c>
      <c r="AI238" s="52">
        <v>10649</v>
      </c>
      <c r="AJ238" s="102">
        <v>20.67</v>
      </c>
      <c r="AK238" s="104">
        <v>41.34</v>
      </c>
      <c r="AL238" s="102">
        <v>55.28</v>
      </c>
      <c r="AM238" s="102"/>
      <c r="AN238" s="53">
        <f t="shared" ref="AN238:AN269" si="128">AL238/(1/(I238+1))</f>
        <v>110.56</v>
      </c>
      <c r="AO238" s="53">
        <v>32.770000000000003</v>
      </c>
      <c r="AP238" s="102"/>
      <c r="AQ238" s="102"/>
      <c r="AR238" s="50"/>
      <c r="AS238" s="50"/>
      <c r="AT238" s="102"/>
      <c r="AU238" s="102"/>
      <c r="AV238" s="102"/>
      <c r="AW238" s="102"/>
      <c r="AX238" s="50"/>
      <c r="AY238" s="50"/>
      <c r="AZ238" s="102"/>
      <c r="BA238" s="102"/>
      <c r="BB238" s="102"/>
      <c r="BC238" s="102"/>
      <c r="BD238" s="50"/>
      <c r="BE238" s="50"/>
      <c r="BF238" s="50"/>
      <c r="BG238" s="50"/>
      <c r="BH238" s="102"/>
      <c r="BI238" s="102"/>
      <c r="BJ238" s="102"/>
      <c r="BK238" s="102"/>
      <c r="BL238" s="102"/>
      <c r="BM238" s="102"/>
      <c r="BN238" s="102">
        <v>32.770000000000003</v>
      </c>
      <c r="BO238" s="50">
        <f>AI238-AH238</f>
        <v>-9115</v>
      </c>
      <c r="BP238" s="50">
        <f>BO238/AH238 *100</f>
        <v>-46.119206638332322</v>
      </c>
      <c r="BQ238" s="50" t="str">
        <f>IF(AND((AH238*(BN238/100))&gt;(AI238*(AL238/100)),  AJ238 &lt;&gt;  BN238), "yes", "no")</f>
        <v>yes</v>
      </c>
      <c r="BR238" s="102"/>
      <c r="BS238" s="54" t="s">
        <v>35</v>
      </c>
      <c r="BT238" s="45" t="str">
        <f t="shared" si="117"/>
        <v>Yes</v>
      </c>
      <c r="BU238" s="45" t="str">
        <f t="shared" si="118"/>
        <v>Yes</v>
      </c>
      <c r="BV238" s="45" t="str">
        <f t="shared" si="119"/>
        <v>No</v>
      </c>
      <c r="BW238" s="55">
        <v>82.426736731188996</v>
      </c>
      <c r="BX238" s="55">
        <v>89.613384580601391</v>
      </c>
      <c r="BY238" s="55">
        <v>82.171736731189</v>
      </c>
      <c r="BZ238" s="55">
        <f t="shared" si="116"/>
        <v>89.358384580601395</v>
      </c>
      <c r="CA238" s="45">
        <v>2000</v>
      </c>
      <c r="CB238" s="55">
        <f t="shared" si="120"/>
        <v>23.412628616656406</v>
      </c>
      <c r="CC238" s="71" t="s">
        <v>266</v>
      </c>
      <c r="CD238" s="46" t="s">
        <v>267</v>
      </c>
      <c r="CE238" s="71" t="s">
        <v>783</v>
      </c>
      <c r="CF238" s="71">
        <v>2</v>
      </c>
      <c r="CG238" s="46" t="str">
        <f t="shared" ref="CG238:CG269" si="129">IF(CD238="Primary (decisive)", "Yes", "No")</f>
        <v>No</v>
      </c>
      <c r="CH238" s="46" t="s">
        <v>35</v>
      </c>
      <c r="CI238" s="56">
        <v>500</v>
      </c>
      <c r="CJ238" s="46" t="s">
        <v>180</v>
      </c>
      <c r="CK238" s="79">
        <v>1000</v>
      </c>
      <c r="CL238" s="49" t="s">
        <v>29</v>
      </c>
      <c r="CM238" s="50">
        <v>0</v>
      </c>
      <c r="CN238" s="50"/>
      <c r="CO238" s="50"/>
      <c r="CP238" s="46" t="s">
        <v>23</v>
      </c>
      <c r="CQ238" s="46" t="s">
        <v>273</v>
      </c>
      <c r="CR238" s="46">
        <v>11</v>
      </c>
      <c r="CS238" s="46" t="s">
        <v>855</v>
      </c>
      <c r="CT238" s="46" t="s">
        <v>856</v>
      </c>
      <c r="CU238" s="46" t="s">
        <v>213</v>
      </c>
      <c r="CV238" s="46">
        <v>2</v>
      </c>
      <c r="CW238" s="46" t="s">
        <v>23</v>
      </c>
      <c r="CX238" s="49" t="s">
        <v>921</v>
      </c>
      <c r="CY238" s="49"/>
      <c r="CZ238" s="49">
        <v>0</v>
      </c>
      <c r="DA238" s="49">
        <v>0</v>
      </c>
      <c r="DB238" s="57">
        <v>45484</v>
      </c>
      <c r="DC238" s="58">
        <v>26.33</v>
      </c>
      <c r="DD238" s="58">
        <v>28.050000000000004</v>
      </c>
      <c r="DE238" s="58">
        <v>12.790000000000001</v>
      </c>
      <c r="DF238" s="58">
        <v>27.889999999999997</v>
      </c>
      <c r="DG238" s="58">
        <v>6.0922522205610763</v>
      </c>
      <c r="DH238" s="58">
        <v>73.67</v>
      </c>
      <c r="DI238" s="45" t="s">
        <v>35</v>
      </c>
      <c r="DJ238" s="59" t="str">
        <f t="shared" si="115"/>
        <v>No single majority group</v>
      </c>
      <c r="DK238" s="60">
        <v>45484</v>
      </c>
      <c r="DL238" s="58">
        <v>26.33</v>
      </c>
      <c r="DM238" s="58">
        <v>28.050000000000004</v>
      </c>
      <c r="DN238" s="58">
        <v>12.790000000000001</v>
      </c>
      <c r="DO238" s="58">
        <v>73.67</v>
      </c>
      <c r="DP238" s="82">
        <v>49.2</v>
      </c>
      <c r="DQ238" s="67">
        <v>75916.37</v>
      </c>
      <c r="DR238" s="58">
        <v>11.3</v>
      </c>
      <c r="DS238" s="58">
        <v>75.3</v>
      </c>
      <c r="DT238" s="53">
        <v>35</v>
      </c>
      <c r="DU238" s="55">
        <v>2.2999999999999998</v>
      </c>
      <c r="DV238" s="50">
        <v>36.5</v>
      </c>
      <c r="DW238" s="58">
        <v>81.2</v>
      </c>
      <c r="DX238" s="53">
        <v>79.629300000000001</v>
      </c>
      <c r="DY238" s="53">
        <v>35.761299999999999</v>
      </c>
      <c r="DZ238" s="63"/>
    </row>
    <row r="239" spans="1:130" s="5" customFormat="1" ht="14.25" customHeight="1">
      <c r="A239" s="45">
        <v>1267</v>
      </c>
      <c r="B239" s="46" t="s">
        <v>210</v>
      </c>
      <c r="C239" s="46">
        <v>2000</v>
      </c>
      <c r="D239" s="46" t="s">
        <v>219</v>
      </c>
      <c r="E239" s="46" t="s">
        <v>238</v>
      </c>
      <c r="F239" s="46">
        <v>4</v>
      </c>
      <c r="G239" s="48">
        <v>108000</v>
      </c>
      <c r="H239" s="46" t="s">
        <v>249</v>
      </c>
      <c r="I239" s="46">
        <v>1</v>
      </c>
      <c r="J239" s="46">
        <v>9</v>
      </c>
      <c r="K239" s="49" t="s">
        <v>265</v>
      </c>
      <c r="L239" s="49" t="s">
        <v>30</v>
      </c>
      <c r="M239" s="49" t="s">
        <v>29</v>
      </c>
      <c r="N239" s="49" t="s">
        <v>512</v>
      </c>
      <c r="O239" s="49"/>
      <c r="P239" s="49" t="s">
        <v>857</v>
      </c>
      <c r="Q239" s="49" t="s">
        <v>35</v>
      </c>
      <c r="R239" s="49">
        <v>3</v>
      </c>
      <c r="S239" s="50">
        <f t="shared" si="124"/>
        <v>33.333333333333329</v>
      </c>
      <c r="T239" s="49">
        <v>4</v>
      </c>
      <c r="U239" s="50">
        <f t="shared" si="125"/>
        <v>44.444444444444443</v>
      </c>
      <c r="V239" s="81" t="s">
        <v>882</v>
      </c>
      <c r="W239" s="49">
        <v>1</v>
      </c>
      <c r="X239" s="50">
        <f t="shared" si="126"/>
        <v>11.111111111111111</v>
      </c>
      <c r="Y239" s="51" t="str">
        <f t="shared" si="127"/>
        <v>No</v>
      </c>
      <c r="Z239" s="49" t="s">
        <v>35</v>
      </c>
      <c r="AA239" s="49" t="s">
        <v>23</v>
      </c>
      <c r="AB239" s="49" t="s">
        <v>23</v>
      </c>
      <c r="AC239" s="46" t="s">
        <v>267</v>
      </c>
      <c r="AD239" s="46" t="s">
        <v>268</v>
      </c>
      <c r="AE239" s="46" t="s">
        <v>89</v>
      </c>
      <c r="AF239" s="46" t="s">
        <v>29</v>
      </c>
      <c r="AG239" s="103"/>
      <c r="AH239" s="52">
        <v>21409</v>
      </c>
      <c r="AI239" s="52">
        <v>13708</v>
      </c>
      <c r="AJ239" s="102">
        <v>29.38</v>
      </c>
      <c r="AK239" s="104">
        <v>58.76</v>
      </c>
      <c r="AL239" s="102">
        <v>60.88</v>
      </c>
      <c r="AM239" s="102"/>
      <c r="AN239" s="53">
        <f t="shared" si="128"/>
        <v>121.76</v>
      </c>
      <c r="AO239" s="53">
        <v>26.64</v>
      </c>
      <c r="AP239" s="102"/>
      <c r="AQ239" s="102"/>
      <c r="AR239" s="102"/>
      <c r="AS239" s="102"/>
      <c r="AT239" s="102"/>
      <c r="AU239" s="102"/>
      <c r="AV239" s="102"/>
      <c r="AW239" s="102"/>
      <c r="AX239" s="102"/>
      <c r="AY239" s="102"/>
      <c r="AZ239" s="102"/>
      <c r="BA239" s="102"/>
      <c r="BB239" s="102"/>
      <c r="BC239" s="102"/>
      <c r="BD239" s="102"/>
      <c r="BE239" s="102"/>
      <c r="BF239" s="102"/>
      <c r="BG239" s="102"/>
      <c r="BH239" s="102"/>
      <c r="BI239" s="102"/>
      <c r="BJ239" s="102"/>
      <c r="BK239" s="102"/>
      <c r="BL239" s="102"/>
      <c r="BM239" s="102"/>
      <c r="BN239" s="102">
        <v>29.38</v>
      </c>
      <c r="BO239" s="102">
        <f>AI239-AH239</f>
        <v>-7701</v>
      </c>
      <c r="BP239" s="102">
        <f>BO239/AH239 *100</f>
        <v>-35.970853379419871</v>
      </c>
      <c r="BQ239" s="102" t="str">
        <f>IF(AND((AH239*(BN239/100))&gt;(AI239*(AL239/100)),  AJ239 &lt;&gt;  BN239), "yes", "no")</f>
        <v>no</v>
      </c>
      <c r="BR239" s="102"/>
      <c r="BS239" s="54" t="s">
        <v>29</v>
      </c>
      <c r="BT239" s="45" t="str">
        <f t="shared" si="117"/>
        <v>Yes</v>
      </c>
      <c r="BU239" s="45" t="str">
        <f t="shared" si="118"/>
        <v>Yes</v>
      </c>
      <c r="BV239" s="45" t="str">
        <f t="shared" si="119"/>
        <v>Yes</v>
      </c>
      <c r="BW239" s="55">
        <v>82.426736731188996</v>
      </c>
      <c r="BX239" s="55">
        <v>84.954420364637087</v>
      </c>
      <c r="BY239" s="55">
        <v>82.171736731189</v>
      </c>
      <c r="BZ239" s="55">
        <f t="shared" si="116"/>
        <v>84.699420364637092</v>
      </c>
      <c r="CA239" s="45">
        <v>2000</v>
      </c>
      <c r="CB239" s="55">
        <f t="shared" si="120"/>
        <v>31.958594642482456</v>
      </c>
      <c r="CC239" s="71" t="s">
        <v>266</v>
      </c>
      <c r="CD239" s="46" t="s">
        <v>267</v>
      </c>
      <c r="CE239" s="71" t="s">
        <v>783</v>
      </c>
      <c r="CF239" s="71">
        <v>2</v>
      </c>
      <c r="CG239" s="46" t="str">
        <f t="shared" si="129"/>
        <v>No</v>
      </c>
      <c r="CH239" s="46" t="s">
        <v>35</v>
      </c>
      <c r="CI239" s="56">
        <v>500</v>
      </c>
      <c r="CJ239" s="46" t="s">
        <v>180</v>
      </c>
      <c r="CK239" s="79">
        <v>1000</v>
      </c>
      <c r="CL239" s="49" t="s">
        <v>29</v>
      </c>
      <c r="CM239" s="50">
        <v>0</v>
      </c>
      <c r="CN239" s="50"/>
      <c r="CO239" s="50"/>
      <c r="CP239" s="46" t="s">
        <v>23</v>
      </c>
      <c r="CQ239" s="46" t="s">
        <v>273</v>
      </c>
      <c r="CR239" s="46">
        <v>11</v>
      </c>
      <c r="CS239" s="46" t="s">
        <v>855</v>
      </c>
      <c r="CT239" s="46" t="s">
        <v>856</v>
      </c>
      <c r="CU239" s="46" t="s">
        <v>213</v>
      </c>
      <c r="CV239" s="46">
        <v>1</v>
      </c>
      <c r="CW239" s="46" t="s">
        <v>23</v>
      </c>
      <c r="CX239" s="49" t="s">
        <v>921</v>
      </c>
      <c r="CY239" s="49"/>
      <c r="CZ239" s="49">
        <v>0</v>
      </c>
      <c r="DA239" s="49">
        <v>0</v>
      </c>
      <c r="DB239" s="57">
        <v>42893</v>
      </c>
      <c r="DC239" s="58">
        <v>22.27</v>
      </c>
      <c r="DD239" s="58">
        <v>10.82</v>
      </c>
      <c r="DE239" s="58">
        <v>19.470000000000002</v>
      </c>
      <c r="DF239" s="58">
        <v>44.31</v>
      </c>
      <c r="DG239" s="58">
        <v>4.1009022451215813</v>
      </c>
      <c r="DH239" s="58">
        <v>77.73</v>
      </c>
      <c r="DI239" s="45" t="s">
        <v>35</v>
      </c>
      <c r="DJ239" s="59" t="str">
        <f t="shared" si="115"/>
        <v>No single majority group</v>
      </c>
      <c r="DK239" s="60">
        <v>42893</v>
      </c>
      <c r="DL239" s="58">
        <v>22.27</v>
      </c>
      <c r="DM239" s="58">
        <v>10.82</v>
      </c>
      <c r="DN239" s="58">
        <v>19.470000000000002</v>
      </c>
      <c r="DO239" s="58">
        <v>77.73</v>
      </c>
      <c r="DP239" s="82">
        <v>49.2</v>
      </c>
      <c r="DQ239" s="67">
        <v>75916.37</v>
      </c>
      <c r="DR239" s="58">
        <v>11.3</v>
      </c>
      <c r="DS239" s="58">
        <v>75.3</v>
      </c>
      <c r="DT239" s="53">
        <v>35</v>
      </c>
      <c r="DU239" s="55">
        <v>2.2999999999999998</v>
      </c>
      <c r="DV239" s="50">
        <v>36.5</v>
      </c>
      <c r="DW239" s="58">
        <v>81.2</v>
      </c>
      <c r="DX239" s="53">
        <v>79.629300000000001</v>
      </c>
      <c r="DY239" s="53">
        <v>35.761299999999999</v>
      </c>
      <c r="DZ239" s="63"/>
    </row>
    <row r="240" spans="1:130" s="5" customFormat="1" ht="14.25" customHeight="1">
      <c r="A240" s="45">
        <v>1255</v>
      </c>
      <c r="B240" s="46" t="s">
        <v>210</v>
      </c>
      <c r="C240" s="46">
        <v>2001</v>
      </c>
      <c r="D240" s="46" t="s">
        <v>227</v>
      </c>
      <c r="E240" s="46" t="s">
        <v>22</v>
      </c>
      <c r="F240" s="46">
        <v>4</v>
      </c>
      <c r="G240" s="48">
        <v>205000</v>
      </c>
      <c r="H240" s="46" t="s">
        <v>249</v>
      </c>
      <c r="I240" s="46">
        <v>1</v>
      </c>
      <c r="J240" s="46">
        <v>4</v>
      </c>
      <c r="K240" s="49" t="s">
        <v>229</v>
      </c>
      <c r="L240" s="49" t="s">
        <v>30</v>
      </c>
      <c r="M240" s="49" t="s">
        <v>29</v>
      </c>
      <c r="N240" s="49" t="s">
        <v>512</v>
      </c>
      <c r="O240" s="49"/>
      <c r="P240" s="49" t="s">
        <v>857</v>
      </c>
      <c r="Q240" s="49" t="s">
        <v>35</v>
      </c>
      <c r="R240" s="49">
        <v>0</v>
      </c>
      <c r="S240" s="50">
        <f t="shared" si="124"/>
        <v>0</v>
      </c>
      <c r="T240" s="49" t="str">
        <f>LEFT(V240,2)</f>
        <v xml:space="preserve">1 </v>
      </c>
      <c r="U240" s="50">
        <f t="shared" si="125"/>
        <v>25</v>
      </c>
      <c r="V240" s="49" t="s">
        <v>789</v>
      </c>
      <c r="W240" s="49">
        <v>0</v>
      </c>
      <c r="X240" s="50">
        <f t="shared" si="126"/>
        <v>0</v>
      </c>
      <c r="Y240" s="51" t="str">
        <f t="shared" si="127"/>
        <v>No</v>
      </c>
      <c r="Z240" s="49" t="s">
        <v>35</v>
      </c>
      <c r="AA240" s="49" t="s">
        <v>23</v>
      </c>
      <c r="AB240" s="49" t="s">
        <v>23</v>
      </c>
      <c r="AC240" s="46" t="s">
        <v>267</v>
      </c>
      <c r="AD240" s="46" t="s">
        <v>268</v>
      </c>
      <c r="AE240" s="46" t="s">
        <v>228</v>
      </c>
      <c r="AF240" s="46" t="s">
        <v>29</v>
      </c>
      <c r="AG240" s="103"/>
      <c r="AH240" s="52">
        <v>122415</v>
      </c>
      <c r="AI240" s="52">
        <v>74698</v>
      </c>
      <c r="AJ240" s="102">
        <v>26.79</v>
      </c>
      <c r="AK240" s="104">
        <v>53.58</v>
      </c>
      <c r="AL240" s="102">
        <v>51.94</v>
      </c>
      <c r="AM240" s="102"/>
      <c r="AN240" s="53">
        <f t="shared" si="128"/>
        <v>103.88</v>
      </c>
      <c r="AO240" s="53">
        <v>40.26</v>
      </c>
      <c r="AP240" s="102"/>
      <c r="AQ240" s="102"/>
      <c r="AR240" s="102"/>
      <c r="AS240" s="102"/>
      <c r="AT240" s="102"/>
      <c r="AU240" s="102"/>
      <c r="AV240" s="102"/>
      <c r="AW240" s="102"/>
      <c r="AX240" s="102"/>
      <c r="AY240" s="102"/>
      <c r="AZ240" s="102"/>
      <c r="BA240" s="102"/>
      <c r="BB240" s="102"/>
      <c r="BC240" s="102"/>
      <c r="BD240" s="102"/>
      <c r="BE240" s="102"/>
      <c r="BF240" s="102"/>
      <c r="BG240" s="102"/>
      <c r="BH240" s="102"/>
      <c r="BI240" s="102"/>
      <c r="BJ240" s="102"/>
      <c r="BK240" s="102"/>
      <c r="BL240" s="102"/>
      <c r="BM240" s="102"/>
      <c r="BN240" s="102">
        <v>40.26</v>
      </c>
      <c r="BO240" s="102">
        <f>AI240-AH240</f>
        <v>-47717</v>
      </c>
      <c r="BP240" s="102">
        <f>BO240/AH240 *100</f>
        <v>-38.979700200138872</v>
      </c>
      <c r="BQ240" s="102" t="str">
        <f>IF(AND((AH240*(BN240/100))&gt;(AI240*(AL240/100)),  AJ240 &lt;&gt;  BN240), "yes", "no")</f>
        <v>yes</v>
      </c>
      <c r="BR240" s="102"/>
      <c r="BS240" s="54" t="s">
        <v>35</v>
      </c>
      <c r="BT240" s="45" t="str">
        <f t="shared" si="117"/>
        <v>Yes</v>
      </c>
      <c r="BU240" s="45" t="str">
        <f t="shared" si="118"/>
        <v>Yes</v>
      </c>
      <c r="BV240" s="45" t="str">
        <f t="shared" si="119"/>
        <v>No</v>
      </c>
      <c r="BW240" s="55">
        <v>82.426736731188996</v>
      </c>
      <c r="BX240" s="55">
        <v>82.426736731188996</v>
      </c>
      <c r="BY240" s="55">
        <v>82.171736731189</v>
      </c>
      <c r="BZ240" s="55">
        <f t="shared" si="116"/>
        <v>82.171736731189</v>
      </c>
      <c r="CA240" s="45">
        <v>2000</v>
      </c>
      <c r="CB240" s="55">
        <f t="shared" si="120"/>
        <v>13.491308077843501</v>
      </c>
      <c r="CC240" s="71" t="s">
        <v>266</v>
      </c>
      <c r="CD240" s="46" t="s">
        <v>267</v>
      </c>
      <c r="CE240" s="71" t="s">
        <v>783</v>
      </c>
      <c r="CF240" s="71">
        <v>2</v>
      </c>
      <c r="CG240" s="46" t="str">
        <f t="shared" si="129"/>
        <v>No</v>
      </c>
      <c r="CH240" s="46" t="s">
        <v>29</v>
      </c>
      <c r="CI240" s="56">
        <v>4100</v>
      </c>
      <c r="CJ240" s="46" t="s">
        <v>180</v>
      </c>
      <c r="CK240" s="79">
        <f>CI240*2</f>
        <v>8200</v>
      </c>
      <c r="CL240" s="49" t="s">
        <v>29</v>
      </c>
      <c r="CM240" s="50">
        <v>0</v>
      </c>
      <c r="CN240" s="50"/>
      <c r="CO240" s="50"/>
      <c r="CP240" s="46" t="s">
        <v>23</v>
      </c>
      <c r="CQ240" s="46" t="s">
        <v>23</v>
      </c>
      <c r="CR240" s="46">
        <v>11</v>
      </c>
      <c r="CS240" s="46" t="s">
        <v>855</v>
      </c>
      <c r="CT240" s="46" t="s">
        <v>53</v>
      </c>
      <c r="CU240" s="46" t="s">
        <v>213</v>
      </c>
      <c r="CV240" s="46">
        <v>1</v>
      </c>
      <c r="CW240" s="46" t="s">
        <v>23</v>
      </c>
      <c r="CX240" s="49" t="s">
        <v>921</v>
      </c>
      <c r="CY240" s="49"/>
      <c r="CZ240" s="49">
        <v>0</v>
      </c>
      <c r="DA240" s="49">
        <v>0</v>
      </c>
      <c r="DB240" s="68">
        <v>553675</v>
      </c>
      <c r="DC240" s="58">
        <v>52.14</v>
      </c>
      <c r="DD240" s="58">
        <v>8</v>
      </c>
      <c r="DE240" s="58">
        <v>9.49</v>
      </c>
      <c r="DF240" s="58">
        <v>26.69</v>
      </c>
      <c r="DG240" s="58">
        <v>3.6800000000000055</v>
      </c>
      <c r="DH240" s="58">
        <v>47.86</v>
      </c>
      <c r="DI240" s="45" t="s">
        <v>29</v>
      </c>
      <c r="DJ240" s="59" t="str">
        <f t="shared" si="115"/>
        <v>N/A</v>
      </c>
      <c r="DK240" s="69">
        <v>553675</v>
      </c>
      <c r="DL240" s="58">
        <v>52.14</v>
      </c>
      <c r="DM240" s="58">
        <v>8</v>
      </c>
      <c r="DN240" s="58">
        <v>9.49</v>
      </c>
      <c r="DO240" s="58">
        <v>47.86</v>
      </c>
      <c r="DP240" s="82">
        <v>49.2</v>
      </c>
      <c r="DQ240" s="67">
        <v>75916.37</v>
      </c>
      <c r="DR240" s="58">
        <v>11.3</v>
      </c>
      <c r="DS240" s="58">
        <v>75.3</v>
      </c>
      <c r="DT240" s="53">
        <v>35</v>
      </c>
      <c r="DU240" s="55">
        <v>2.2999999999999998</v>
      </c>
      <c r="DV240" s="50">
        <v>36.5</v>
      </c>
      <c r="DW240" s="58">
        <v>81.2</v>
      </c>
      <c r="DX240" s="53">
        <v>79.629300000000001</v>
      </c>
      <c r="DY240" s="53">
        <v>35.761299999999999</v>
      </c>
      <c r="DZ240" s="63"/>
    </row>
    <row r="241" spans="1:130" s="5" customFormat="1" ht="14.25" customHeight="1">
      <c r="A241" s="45">
        <v>1256</v>
      </c>
      <c r="B241" s="46" t="s">
        <v>210</v>
      </c>
      <c r="C241" s="46">
        <v>2001</v>
      </c>
      <c r="D241" s="46" t="s">
        <v>230</v>
      </c>
      <c r="E241" s="46" t="s">
        <v>22</v>
      </c>
      <c r="F241" s="46">
        <v>4</v>
      </c>
      <c r="G241" s="48">
        <v>160000</v>
      </c>
      <c r="H241" s="46" t="s">
        <v>249</v>
      </c>
      <c r="I241" s="46">
        <v>1</v>
      </c>
      <c r="J241" s="46">
        <v>2</v>
      </c>
      <c r="K241" s="49" t="s">
        <v>272</v>
      </c>
      <c r="L241" s="49" t="s">
        <v>40</v>
      </c>
      <c r="M241" s="49" t="s">
        <v>35</v>
      </c>
      <c r="N241" s="49" t="s">
        <v>513</v>
      </c>
      <c r="O241" s="49"/>
      <c r="P241" s="49" t="s">
        <v>174</v>
      </c>
      <c r="Q241" s="49" t="s">
        <v>29</v>
      </c>
      <c r="R241" s="49">
        <v>1</v>
      </c>
      <c r="S241" s="50">
        <f t="shared" si="124"/>
        <v>50</v>
      </c>
      <c r="T241" s="49" t="str">
        <f>LEFT(V241,2)</f>
        <v xml:space="preserve">1 </v>
      </c>
      <c r="U241" s="50">
        <f t="shared" si="125"/>
        <v>50</v>
      </c>
      <c r="V241" s="49" t="s">
        <v>789</v>
      </c>
      <c r="W241" s="49">
        <v>0</v>
      </c>
      <c r="X241" s="50">
        <f t="shared" si="126"/>
        <v>0</v>
      </c>
      <c r="Y241" s="51" t="str">
        <f t="shared" si="127"/>
        <v>No</v>
      </c>
      <c r="Z241" s="49" t="s">
        <v>29</v>
      </c>
      <c r="AA241" s="49" t="s">
        <v>29</v>
      </c>
      <c r="AB241" s="45" t="s">
        <v>35</v>
      </c>
      <c r="AC241" s="46" t="s">
        <v>26</v>
      </c>
      <c r="AD241" s="46" t="s">
        <v>27</v>
      </c>
      <c r="AE241" s="46" t="s">
        <v>228</v>
      </c>
      <c r="AF241" s="46" t="s">
        <v>29</v>
      </c>
      <c r="AG241" s="120"/>
      <c r="AH241" s="52">
        <v>114535</v>
      </c>
      <c r="AI241" s="52">
        <v>114535</v>
      </c>
      <c r="AJ241" s="102">
        <v>86.95</v>
      </c>
      <c r="AK241" s="104">
        <v>173.9</v>
      </c>
      <c r="AL241" s="102">
        <v>86.95</v>
      </c>
      <c r="AM241" s="102"/>
      <c r="AN241" s="53">
        <f t="shared" si="128"/>
        <v>173.9</v>
      </c>
      <c r="AO241" s="53">
        <v>13.05</v>
      </c>
      <c r="AP241" s="102"/>
      <c r="AQ241" s="102"/>
      <c r="AR241" s="102"/>
      <c r="AS241" s="102"/>
      <c r="AT241" s="102"/>
      <c r="AU241" s="102"/>
      <c r="AV241" s="111"/>
      <c r="AW241" s="111"/>
      <c r="AX241" s="102"/>
      <c r="AY241" s="102"/>
      <c r="AZ241" s="102"/>
      <c r="BA241" s="102"/>
      <c r="BB241" s="102"/>
      <c r="BC241" s="102"/>
      <c r="BD241" s="102"/>
      <c r="BE241" s="102"/>
      <c r="BF241" s="102"/>
      <c r="BG241" s="102"/>
      <c r="BH241" s="102"/>
      <c r="BI241" s="102"/>
      <c r="BJ241" s="111"/>
      <c r="BK241" s="111"/>
      <c r="BL241" s="111"/>
      <c r="BM241" s="111"/>
      <c r="BN241" s="102"/>
      <c r="BO241" s="102"/>
      <c r="BP241" s="102"/>
      <c r="BQ241" s="102"/>
      <c r="BR241" s="111"/>
      <c r="BS241" s="54" t="s">
        <v>29</v>
      </c>
      <c r="BT241" s="45" t="str">
        <f t="shared" si="117"/>
        <v>No</v>
      </c>
      <c r="BU241" s="45" t="str">
        <f t="shared" si="118"/>
        <v>No</v>
      </c>
      <c r="BV241" s="45" t="str">
        <f t="shared" si="119"/>
        <v>No</v>
      </c>
      <c r="BW241" s="55">
        <v>82.426736731188996</v>
      </c>
      <c r="BX241" s="55">
        <v>82.426736731188996</v>
      </c>
      <c r="BY241" s="55">
        <v>82.171736731189</v>
      </c>
      <c r="BZ241" s="55">
        <f t="shared" si="116"/>
        <v>82.171736731189</v>
      </c>
      <c r="CA241" s="45">
        <v>2000</v>
      </c>
      <c r="CB241" s="55">
        <f t="shared" si="120"/>
        <v>20.686323204045696</v>
      </c>
      <c r="CC241" s="71" t="s">
        <v>266</v>
      </c>
      <c r="CD241" s="46" t="s">
        <v>267</v>
      </c>
      <c r="CE241" s="71" t="s">
        <v>783</v>
      </c>
      <c r="CF241" s="71">
        <v>2</v>
      </c>
      <c r="CG241" s="46" t="str">
        <f t="shared" si="129"/>
        <v>No</v>
      </c>
      <c r="CH241" s="46" t="s">
        <v>29</v>
      </c>
      <c r="CI241" s="56">
        <v>3200</v>
      </c>
      <c r="CJ241" s="46" t="s">
        <v>180</v>
      </c>
      <c r="CK241" s="79">
        <f>CI241*2</f>
        <v>6400</v>
      </c>
      <c r="CL241" s="49" t="s">
        <v>29</v>
      </c>
      <c r="CM241" s="50">
        <v>0</v>
      </c>
      <c r="CN241" s="50"/>
      <c r="CO241" s="50"/>
      <c r="CP241" s="46" t="s">
        <v>23</v>
      </c>
      <c r="CQ241" s="46" t="s">
        <v>23</v>
      </c>
      <c r="CR241" s="46">
        <v>11</v>
      </c>
      <c r="CS241" s="46" t="s">
        <v>855</v>
      </c>
      <c r="CT241" s="46" t="s">
        <v>25</v>
      </c>
      <c r="CU241" s="46" t="s">
        <v>213</v>
      </c>
      <c r="CV241" s="46">
        <v>1</v>
      </c>
      <c r="CW241" s="46" t="s">
        <v>23</v>
      </c>
      <c r="CX241" s="49" t="s">
        <v>921</v>
      </c>
      <c r="CY241" s="49"/>
      <c r="CZ241" s="49">
        <v>0</v>
      </c>
      <c r="DA241" s="49">
        <v>0</v>
      </c>
      <c r="DB241" s="68">
        <v>553675</v>
      </c>
      <c r="DC241" s="58">
        <v>52.14</v>
      </c>
      <c r="DD241" s="58">
        <v>8</v>
      </c>
      <c r="DE241" s="58">
        <v>9.49</v>
      </c>
      <c r="DF241" s="58">
        <v>26.69</v>
      </c>
      <c r="DG241" s="58">
        <v>3.6800000000000055</v>
      </c>
      <c r="DH241" s="58">
        <v>47.86</v>
      </c>
      <c r="DI241" s="45" t="s">
        <v>29</v>
      </c>
      <c r="DJ241" s="59" t="str">
        <f t="shared" si="115"/>
        <v>N/A</v>
      </c>
      <c r="DK241" s="69">
        <v>553675</v>
      </c>
      <c r="DL241" s="58">
        <v>52.14</v>
      </c>
      <c r="DM241" s="58">
        <v>8</v>
      </c>
      <c r="DN241" s="58">
        <v>9.49</v>
      </c>
      <c r="DO241" s="58">
        <v>47.86</v>
      </c>
      <c r="DP241" s="82">
        <v>49.2</v>
      </c>
      <c r="DQ241" s="67">
        <v>75916.37</v>
      </c>
      <c r="DR241" s="58">
        <v>11.3</v>
      </c>
      <c r="DS241" s="58">
        <v>75.3</v>
      </c>
      <c r="DT241" s="53">
        <v>35</v>
      </c>
      <c r="DU241" s="55">
        <v>2.2999999999999998</v>
      </c>
      <c r="DV241" s="50">
        <v>36.5</v>
      </c>
      <c r="DW241" s="58">
        <v>81.2</v>
      </c>
      <c r="DX241" s="53">
        <v>79.629300000000001</v>
      </c>
      <c r="DY241" s="53">
        <v>35.761299999999999</v>
      </c>
      <c r="DZ241" s="63"/>
    </row>
    <row r="242" spans="1:130" s="5" customFormat="1" ht="14.25" customHeight="1">
      <c r="A242" s="45">
        <v>1248</v>
      </c>
      <c r="B242" s="46" t="s">
        <v>210</v>
      </c>
      <c r="C242" s="46">
        <v>2002</v>
      </c>
      <c r="D242" s="46" t="s">
        <v>211</v>
      </c>
      <c r="E242" s="46" t="s">
        <v>22</v>
      </c>
      <c r="F242" s="46">
        <v>4</v>
      </c>
      <c r="G242" s="48">
        <v>180000</v>
      </c>
      <c r="H242" s="46" t="s">
        <v>249</v>
      </c>
      <c r="I242" s="46">
        <v>1</v>
      </c>
      <c r="J242" s="46">
        <v>6</v>
      </c>
      <c r="K242" s="49" t="s">
        <v>269</v>
      </c>
      <c r="L242" s="49" t="s">
        <v>40</v>
      </c>
      <c r="M242" s="49" t="s">
        <v>35</v>
      </c>
      <c r="N242" s="49" t="s">
        <v>618</v>
      </c>
      <c r="O242" s="49"/>
      <c r="P242" s="49" t="s">
        <v>34</v>
      </c>
      <c r="Q242" s="49" t="s">
        <v>35</v>
      </c>
      <c r="R242" s="49">
        <v>2</v>
      </c>
      <c r="S242" s="50">
        <f t="shared" si="124"/>
        <v>33.333333333333329</v>
      </c>
      <c r="T242" s="49">
        <v>4</v>
      </c>
      <c r="U242" s="50">
        <f t="shared" si="125"/>
        <v>66.666666666666657</v>
      </c>
      <c r="V242" s="49" t="s">
        <v>859</v>
      </c>
      <c r="W242" s="49">
        <v>2</v>
      </c>
      <c r="X242" s="50">
        <f t="shared" si="126"/>
        <v>33.333333333333329</v>
      </c>
      <c r="Y242" s="51" t="str">
        <f t="shared" si="127"/>
        <v>Yes</v>
      </c>
      <c r="Z242" s="49" t="s">
        <v>29</v>
      </c>
      <c r="AA242" s="49" t="s">
        <v>35</v>
      </c>
      <c r="AB242" s="45" t="s">
        <v>35</v>
      </c>
      <c r="AC242" s="46" t="s">
        <v>26</v>
      </c>
      <c r="AD242" s="46" t="s">
        <v>27</v>
      </c>
      <c r="AE242" s="46" t="s">
        <v>73</v>
      </c>
      <c r="AF242" s="46" t="s">
        <v>29</v>
      </c>
      <c r="AG242" s="103"/>
      <c r="AH242" s="52">
        <v>129492</v>
      </c>
      <c r="AI242" s="52">
        <v>176535</v>
      </c>
      <c r="AJ242" s="102">
        <v>30.62</v>
      </c>
      <c r="AK242" s="104">
        <v>61.24</v>
      </c>
      <c r="AL242" s="102">
        <v>59.17</v>
      </c>
      <c r="AM242" s="102"/>
      <c r="AN242" s="53">
        <f t="shared" si="128"/>
        <v>118.34</v>
      </c>
      <c r="AO242" s="105">
        <v>22.71</v>
      </c>
      <c r="AP242" s="102"/>
      <c r="AQ242" s="102"/>
      <c r="AR242" s="102"/>
      <c r="AS242" s="102"/>
      <c r="AT242" s="102"/>
      <c r="AU242" s="102"/>
      <c r="AV242" s="102"/>
      <c r="AW242" s="102"/>
      <c r="AX242" s="102"/>
      <c r="AY242" s="102"/>
      <c r="AZ242" s="102"/>
      <c r="BA242" s="102"/>
      <c r="BB242" s="102"/>
      <c r="BC242" s="102"/>
      <c r="BD242" s="102"/>
      <c r="BE242" s="102"/>
      <c r="BF242" s="102"/>
      <c r="BG242" s="102"/>
      <c r="BH242" s="102"/>
      <c r="BI242" s="102"/>
      <c r="BJ242" s="102"/>
      <c r="BK242" s="102"/>
      <c r="BL242" s="102"/>
      <c r="BM242" s="102"/>
      <c r="BN242" s="102"/>
      <c r="BO242" s="102"/>
      <c r="BP242" s="102"/>
      <c r="BQ242" s="102"/>
      <c r="BR242" s="102"/>
      <c r="BS242" s="54"/>
      <c r="BT242" s="45" t="str">
        <f t="shared" si="117"/>
        <v>Yes</v>
      </c>
      <c r="BU242" s="45" t="str">
        <f t="shared" si="118"/>
        <v>Yes</v>
      </c>
      <c r="BV242" s="45" t="str">
        <f t="shared" si="119"/>
        <v>No</v>
      </c>
      <c r="BW242" s="55">
        <v>82.426736731188981</v>
      </c>
      <c r="BX242" s="55">
        <v>82.426736731188981</v>
      </c>
      <c r="BY242" s="55">
        <v>82.171736731188972</v>
      </c>
      <c r="BZ242" s="55">
        <f t="shared" si="116"/>
        <v>82.171736731188986</v>
      </c>
      <c r="CA242" s="45">
        <v>2000</v>
      </c>
      <c r="CB242" s="55">
        <f t="shared" si="120"/>
        <v>31.884228112159661</v>
      </c>
      <c r="CC242" s="71" t="s">
        <v>150</v>
      </c>
      <c r="CD242" s="46" t="s">
        <v>151</v>
      </c>
      <c r="CE242" s="71" t="s">
        <v>783</v>
      </c>
      <c r="CF242" s="71">
        <v>2</v>
      </c>
      <c r="CG242" s="46" t="str">
        <f t="shared" si="129"/>
        <v>Yes</v>
      </c>
      <c r="CH242" s="46" t="s">
        <v>29</v>
      </c>
      <c r="CI242" s="56">
        <v>3000</v>
      </c>
      <c r="CJ242" s="46" t="s">
        <v>180</v>
      </c>
      <c r="CK242" s="79">
        <f>CI242*2</f>
        <v>6000</v>
      </c>
      <c r="CL242" s="49" t="s">
        <v>29</v>
      </c>
      <c r="CM242" s="50">
        <v>0</v>
      </c>
      <c r="CN242" s="50"/>
      <c r="CO242" s="50"/>
      <c r="CP242" s="46" t="s">
        <v>23</v>
      </c>
      <c r="CQ242" s="46" t="s">
        <v>23</v>
      </c>
      <c r="CR242" s="46">
        <v>11</v>
      </c>
      <c r="CS242" s="46" t="s">
        <v>855</v>
      </c>
      <c r="CT242" s="46" t="s">
        <v>25</v>
      </c>
      <c r="CU242" s="46" t="s">
        <v>213</v>
      </c>
      <c r="CV242" s="46">
        <v>1</v>
      </c>
      <c r="CW242" s="46" t="s">
        <v>23</v>
      </c>
      <c r="CX242" s="49" t="s">
        <v>922</v>
      </c>
      <c r="CY242" s="49" t="s">
        <v>914</v>
      </c>
      <c r="CZ242" s="49">
        <v>0</v>
      </c>
      <c r="DA242" s="49">
        <v>1</v>
      </c>
      <c r="DB242" s="68">
        <v>553675</v>
      </c>
      <c r="DC242" s="58">
        <v>52.14</v>
      </c>
      <c r="DD242" s="58">
        <v>8</v>
      </c>
      <c r="DE242" s="58">
        <v>9.49</v>
      </c>
      <c r="DF242" s="58">
        <v>26.69</v>
      </c>
      <c r="DG242" s="58">
        <v>3.6800000000000055</v>
      </c>
      <c r="DH242" s="58">
        <v>47.86</v>
      </c>
      <c r="DI242" s="45" t="s">
        <v>29</v>
      </c>
      <c r="DJ242" s="59" t="str">
        <f t="shared" si="115"/>
        <v>N/A</v>
      </c>
      <c r="DK242" s="69">
        <v>553675</v>
      </c>
      <c r="DL242" s="58">
        <v>52.14</v>
      </c>
      <c r="DM242" s="58">
        <v>8</v>
      </c>
      <c r="DN242" s="58">
        <v>9.49</v>
      </c>
      <c r="DO242" s="58">
        <v>47.86</v>
      </c>
      <c r="DP242" s="82">
        <v>49.2</v>
      </c>
      <c r="DQ242" s="67">
        <v>75916.37</v>
      </c>
      <c r="DR242" s="58">
        <v>11.3</v>
      </c>
      <c r="DS242" s="58">
        <v>75.3</v>
      </c>
      <c r="DT242" s="53">
        <v>35</v>
      </c>
      <c r="DU242" s="55">
        <v>2.2999999999999998</v>
      </c>
      <c r="DV242" s="50">
        <v>36.5</v>
      </c>
      <c r="DW242" s="58">
        <v>81.2</v>
      </c>
      <c r="DX242" s="53">
        <v>79.629300000000001</v>
      </c>
      <c r="DY242" s="53">
        <v>35.761299999999999</v>
      </c>
      <c r="DZ242" s="63"/>
    </row>
    <row r="243" spans="1:130" s="5" customFormat="1" ht="14.25" customHeight="1">
      <c r="A243" s="45">
        <v>1250</v>
      </c>
      <c r="B243" s="46" t="s">
        <v>210</v>
      </c>
      <c r="C243" s="46">
        <v>2002</v>
      </c>
      <c r="D243" s="46" t="s">
        <v>219</v>
      </c>
      <c r="E243" s="71" t="s">
        <v>92</v>
      </c>
      <c r="F243" s="46">
        <v>4</v>
      </c>
      <c r="G243" s="48">
        <v>108000</v>
      </c>
      <c r="H243" s="46" t="s">
        <v>249</v>
      </c>
      <c r="I243" s="46">
        <v>1</v>
      </c>
      <c r="J243" s="46">
        <v>4</v>
      </c>
      <c r="K243" s="49" t="s">
        <v>252</v>
      </c>
      <c r="L243" s="49" t="s">
        <v>30</v>
      </c>
      <c r="M243" s="49" t="s">
        <v>29</v>
      </c>
      <c r="N243" s="49" t="s">
        <v>513</v>
      </c>
      <c r="O243" s="49"/>
      <c r="P243" s="49" t="s">
        <v>174</v>
      </c>
      <c r="Q243" s="49" t="s">
        <v>29</v>
      </c>
      <c r="R243" s="49">
        <v>1</v>
      </c>
      <c r="S243" s="50">
        <f t="shared" si="124"/>
        <v>25</v>
      </c>
      <c r="T243" s="49" t="str">
        <f>LEFT(V243,2)</f>
        <v xml:space="preserve">1 </v>
      </c>
      <c r="U243" s="50">
        <f t="shared" si="125"/>
        <v>25</v>
      </c>
      <c r="V243" s="49" t="s">
        <v>858</v>
      </c>
      <c r="W243" s="49">
        <v>0</v>
      </c>
      <c r="X243" s="50">
        <f t="shared" si="126"/>
        <v>0</v>
      </c>
      <c r="Y243" s="51" t="str">
        <f t="shared" si="127"/>
        <v>No</v>
      </c>
      <c r="Z243" s="49" t="s">
        <v>29</v>
      </c>
      <c r="AA243" s="49" t="s">
        <v>29</v>
      </c>
      <c r="AB243" s="49" t="s">
        <v>29</v>
      </c>
      <c r="AC243" s="46" t="s">
        <v>26</v>
      </c>
      <c r="AD243" s="46" t="s">
        <v>27</v>
      </c>
      <c r="AE243" s="46" t="s">
        <v>73</v>
      </c>
      <c r="AF243" s="46" t="s">
        <v>29</v>
      </c>
      <c r="AG243" s="103"/>
      <c r="AH243" s="52">
        <v>19899</v>
      </c>
      <c r="AI243" s="52">
        <v>19899</v>
      </c>
      <c r="AJ243" s="102">
        <v>78.77</v>
      </c>
      <c r="AK243" s="104">
        <v>157.54</v>
      </c>
      <c r="AL243" s="102">
        <v>78.77</v>
      </c>
      <c r="AM243" s="102"/>
      <c r="AN243" s="53">
        <f t="shared" si="128"/>
        <v>157.54</v>
      </c>
      <c r="AO243" s="53">
        <v>15.81</v>
      </c>
      <c r="AP243" s="102"/>
      <c r="AQ243" s="102"/>
      <c r="AR243" s="102"/>
      <c r="AS243" s="102"/>
      <c r="AT243" s="102"/>
      <c r="AU243" s="102"/>
      <c r="AV243" s="102"/>
      <c r="AW243" s="102"/>
      <c r="AX243" s="102"/>
      <c r="AY243" s="102"/>
      <c r="AZ243" s="102"/>
      <c r="BA243" s="102"/>
      <c r="BB243" s="102"/>
      <c r="BC243" s="102"/>
      <c r="BD243" s="102"/>
      <c r="BE243" s="102"/>
      <c r="BF243" s="102"/>
      <c r="BG243" s="102"/>
      <c r="BH243" s="102"/>
      <c r="BI243" s="102"/>
      <c r="BJ243" s="102"/>
      <c r="BK243" s="102"/>
      <c r="BL243" s="102"/>
      <c r="BM243" s="102"/>
      <c r="BN243" s="102"/>
      <c r="BO243" s="102"/>
      <c r="BP243" s="102"/>
      <c r="BQ243" s="102"/>
      <c r="BR243" s="102"/>
      <c r="BS243" s="54" t="s">
        <v>29</v>
      </c>
      <c r="BT243" s="45" t="str">
        <f t="shared" si="117"/>
        <v>No</v>
      </c>
      <c r="BU243" s="45" t="str">
        <f t="shared" si="118"/>
        <v>No</v>
      </c>
      <c r="BV243" s="45" t="str">
        <f t="shared" si="119"/>
        <v>No</v>
      </c>
      <c r="BW243" s="55">
        <v>82.426736731188996</v>
      </c>
      <c r="BX243" s="55">
        <v>68.975061507492725</v>
      </c>
      <c r="BY243" s="55">
        <v>82.171736731189</v>
      </c>
      <c r="BZ243" s="55">
        <f t="shared" si="116"/>
        <v>68.72006150749273</v>
      </c>
      <c r="CA243" s="45">
        <v>2000</v>
      </c>
      <c r="CB243" s="55">
        <f t="shared" si="120"/>
        <v>34.806107991814031</v>
      </c>
      <c r="CC243" s="71" t="s">
        <v>266</v>
      </c>
      <c r="CD243" s="46" t="s">
        <v>267</v>
      </c>
      <c r="CE243" s="71" t="s">
        <v>783</v>
      </c>
      <c r="CF243" s="71">
        <v>2</v>
      </c>
      <c r="CG243" s="46" t="str">
        <f t="shared" si="129"/>
        <v>No</v>
      </c>
      <c r="CH243" s="46" t="s">
        <v>35</v>
      </c>
      <c r="CI243" s="56">
        <v>500</v>
      </c>
      <c r="CJ243" s="46" t="s">
        <v>180</v>
      </c>
      <c r="CK243" s="79">
        <v>1000</v>
      </c>
      <c r="CL243" s="49" t="s">
        <v>35</v>
      </c>
      <c r="CM243" s="50">
        <v>0</v>
      </c>
      <c r="CN243" s="50"/>
      <c r="CO243" s="50"/>
      <c r="CP243" s="46" t="s">
        <v>23</v>
      </c>
      <c r="CQ243" s="46" t="s">
        <v>24</v>
      </c>
      <c r="CR243" s="46">
        <v>11</v>
      </c>
      <c r="CS243" s="46" t="s">
        <v>855</v>
      </c>
      <c r="CT243" s="46" t="s">
        <v>856</v>
      </c>
      <c r="CU243" s="46" t="s">
        <v>213</v>
      </c>
      <c r="CV243" s="46">
        <v>1</v>
      </c>
      <c r="CW243" s="46" t="s">
        <v>23</v>
      </c>
      <c r="CX243" s="49" t="s">
        <v>922</v>
      </c>
      <c r="CY243" s="49" t="s">
        <v>914</v>
      </c>
      <c r="CZ243" s="49">
        <v>0</v>
      </c>
      <c r="DA243" s="49">
        <v>1</v>
      </c>
      <c r="DB243" s="57">
        <v>57171</v>
      </c>
      <c r="DC243" s="58">
        <v>75.83</v>
      </c>
      <c r="DD243" s="58">
        <v>3.29</v>
      </c>
      <c r="DE243" s="58">
        <v>4.67</v>
      </c>
      <c r="DF243" s="58">
        <v>13.309999999999999</v>
      </c>
      <c r="DG243" s="58">
        <v>3.8638470553252522</v>
      </c>
      <c r="DH243" s="58">
        <v>24.17</v>
      </c>
      <c r="DI243" s="45" t="s">
        <v>29</v>
      </c>
      <c r="DJ243" s="59" t="str">
        <f t="shared" si="115"/>
        <v>N/A</v>
      </c>
      <c r="DK243" s="60">
        <v>57171</v>
      </c>
      <c r="DL243" s="58">
        <v>75.83</v>
      </c>
      <c r="DM243" s="58">
        <v>3.29</v>
      </c>
      <c r="DN243" s="58">
        <v>4.67</v>
      </c>
      <c r="DO243" s="58">
        <v>24.17</v>
      </c>
      <c r="DP243" s="82">
        <v>49.2</v>
      </c>
      <c r="DQ243" s="67">
        <v>75916.37</v>
      </c>
      <c r="DR243" s="58">
        <v>11.3</v>
      </c>
      <c r="DS243" s="58">
        <v>75.3</v>
      </c>
      <c r="DT243" s="53">
        <v>35</v>
      </c>
      <c r="DU243" s="55">
        <v>2.2999999999999998</v>
      </c>
      <c r="DV243" s="50">
        <v>36.5</v>
      </c>
      <c r="DW243" s="58">
        <v>81.2</v>
      </c>
      <c r="DX243" s="53">
        <v>79.629300000000001</v>
      </c>
      <c r="DY243" s="53">
        <v>35.761299999999999</v>
      </c>
      <c r="DZ243" s="63"/>
    </row>
    <row r="244" spans="1:130" s="5" customFormat="1" ht="14.25" customHeight="1">
      <c r="A244" s="45">
        <v>1251</v>
      </c>
      <c r="B244" s="46" t="s">
        <v>210</v>
      </c>
      <c r="C244" s="46">
        <v>2002</v>
      </c>
      <c r="D244" s="46" t="s">
        <v>219</v>
      </c>
      <c r="E244" s="46" t="s">
        <v>80</v>
      </c>
      <c r="F244" s="46">
        <v>4</v>
      </c>
      <c r="G244" s="48">
        <v>108000</v>
      </c>
      <c r="H244" s="46" t="s">
        <v>249</v>
      </c>
      <c r="I244" s="46">
        <v>1</v>
      </c>
      <c r="J244" s="46">
        <v>8</v>
      </c>
      <c r="K244" s="49" t="s">
        <v>270</v>
      </c>
      <c r="L244" s="49" t="s">
        <v>40</v>
      </c>
      <c r="M244" s="49" t="s">
        <v>35</v>
      </c>
      <c r="N244" s="49" t="s">
        <v>512</v>
      </c>
      <c r="O244" s="49"/>
      <c r="P244" s="49" t="s">
        <v>34</v>
      </c>
      <c r="Q244" s="49" t="s">
        <v>35</v>
      </c>
      <c r="R244" s="49">
        <v>2</v>
      </c>
      <c r="S244" s="50">
        <f t="shared" si="124"/>
        <v>25</v>
      </c>
      <c r="T244" s="49">
        <v>4</v>
      </c>
      <c r="U244" s="50">
        <f t="shared" si="125"/>
        <v>50</v>
      </c>
      <c r="V244" s="49" t="s">
        <v>778</v>
      </c>
      <c r="W244" s="49">
        <v>1</v>
      </c>
      <c r="X244" s="50">
        <f t="shared" si="126"/>
        <v>12.5</v>
      </c>
      <c r="Y244" s="51" t="str">
        <f t="shared" si="127"/>
        <v>Yes</v>
      </c>
      <c r="Z244" s="49" t="s">
        <v>35</v>
      </c>
      <c r="AA244" s="49" t="s">
        <v>23</v>
      </c>
      <c r="AB244" s="49" t="s">
        <v>23</v>
      </c>
      <c r="AC244" s="46" t="s">
        <v>267</v>
      </c>
      <c r="AD244" s="46" t="s">
        <v>268</v>
      </c>
      <c r="AE244" s="46" t="s">
        <v>73</v>
      </c>
      <c r="AF244" s="46" t="s">
        <v>29</v>
      </c>
      <c r="AG244" s="103"/>
      <c r="AH244" s="52">
        <v>18078</v>
      </c>
      <c r="AI244" s="52">
        <v>14751</v>
      </c>
      <c r="AJ244" s="102">
        <v>23.56</v>
      </c>
      <c r="AK244" s="104">
        <v>47.12</v>
      </c>
      <c r="AL244" s="102">
        <v>56.19</v>
      </c>
      <c r="AM244" s="102"/>
      <c r="AN244" s="53">
        <f t="shared" si="128"/>
        <v>112.38</v>
      </c>
      <c r="AO244" s="53">
        <v>22.93</v>
      </c>
      <c r="AP244" s="102"/>
      <c r="AQ244" s="102"/>
      <c r="AR244" s="102"/>
      <c r="AS244" s="102"/>
      <c r="AT244" s="102"/>
      <c r="AU244" s="102"/>
      <c r="AV244" s="102"/>
      <c r="AW244" s="102"/>
      <c r="AX244" s="102"/>
      <c r="AY244" s="102"/>
      <c r="AZ244" s="102"/>
      <c r="BA244" s="102"/>
      <c r="BB244" s="102"/>
      <c r="BC244" s="102"/>
      <c r="BD244" s="102"/>
      <c r="BE244" s="102"/>
      <c r="BF244" s="102"/>
      <c r="BG244" s="102"/>
      <c r="BH244" s="102"/>
      <c r="BI244" s="102"/>
      <c r="BJ244" s="102"/>
      <c r="BK244" s="102"/>
      <c r="BL244" s="102"/>
      <c r="BM244" s="102"/>
      <c r="BN244" s="102">
        <v>23.56</v>
      </c>
      <c r="BO244" s="102">
        <f>AI244-AH244</f>
        <v>-3327</v>
      </c>
      <c r="BP244" s="102">
        <f>BO244/AH244 *100</f>
        <v>-18.403584467308331</v>
      </c>
      <c r="BQ244" s="102" t="str">
        <f>IF(AND((AH244*(BN244/100))&gt;(AI244*(AL244/100)),  AJ244 &lt;&gt;  BN244), "yes", "no")</f>
        <v>no</v>
      </c>
      <c r="BR244" s="102"/>
      <c r="BS244" s="54" t="s">
        <v>29</v>
      </c>
      <c r="BT244" s="45" t="str">
        <f t="shared" si="117"/>
        <v>Yes</v>
      </c>
      <c r="BU244" s="45" t="str">
        <f t="shared" si="118"/>
        <v>Yes</v>
      </c>
      <c r="BV244" s="45" t="str">
        <f t="shared" si="119"/>
        <v>Yes</v>
      </c>
      <c r="BW244" s="55">
        <v>82.426736731188996</v>
      </c>
      <c r="BX244" s="55">
        <v>77.854400125382028</v>
      </c>
      <c r="BY244" s="55">
        <v>82.171736731189</v>
      </c>
      <c r="BZ244" s="55">
        <f t="shared" si="116"/>
        <v>77.599400125382033</v>
      </c>
      <c r="CA244" s="45">
        <v>2000</v>
      </c>
      <c r="CB244" s="55">
        <f t="shared" si="120"/>
        <v>29.140655867246146</v>
      </c>
      <c r="CC244" s="71" t="s">
        <v>266</v>
      </c>
      <c r="CD244" s="46" t="s">
        <v>267</v>
      </c>
      <c r="CE244" s="71" t="s">
        <v>783</v>
      </c>
      <c r="CF244" s="71">
        <v>2</v>
      </c>
      <c r="CG244" s="46" t="str">
        <f t="shared" si="129"/>
        <v>No</v>
      </c>
      <c r="CH244" s="46" t="s">
        <v>35</v>
      </c>
      <c r="CI244" s="56">
        <v>500</v>
      </c>
      <c r="CJ244" s="46" t="s">
        <v>180</v>
      </c>
      <c r="CK244" s="79">
        <v>1000</v>
      </c>
      <c r="CL244" s="49" t="s">
        <v>35</v>
      </c>
      <c r="CM244" s="50">
        <f>(4/8)*100</f>
        <v>50</v>
      </c>
      <c r="CN244" s="50"/>
      <c r="CO244" s="50"/>
      <c r="CP244" s="46" t="s">
        <v>23</v>
      </c>
      <c r="CQ244" s="46" t="s">
        <v>24</v>
      </c>
      <c r="CR244" s="46">
        <v>11</v>
      </c>
      <c r="CS244" s="46" t="s">
        <v>855</v>
      </c>
      <c r="CT244" s="46" t="s">
        <v>856</v>
      </c>
      <c r="CU244" s="46" t="s">
        <v>213</v>
      </c>
      <c r="CV244" s="46">
        <v>1</v>
      </c>
      <c r="CW244" s="46" t="s">
        <v>23</v>
      </c>
      <c r="CX244" s="49" t="s">
        <v>922</v>
      </c>
      <c r="CY244" s="49" t="s">
        <v>914</v>
      </c>
      <c r="CZ244" s="49">
        <v>0</v>
      </c>
      <c r="DA244" s="49">
        <v>1</v>
      </c>
      <c r="DB244" s="57">
        <v>50620</v>
      </c>
      <c r="DC244" s="58">
        <v>41.67</v>
      </c>
      <c r="DD244" s="58">
        <v>1.06</v>
      </c>
      <c r="DE244" s="58">
        <v>5</v>
      </c>
      <c r="DF244" s="58">
        <v>49.14</v>
      </c>
      <c r="DG244" s="58">
        <v>4.3935203476886597</v>
      </c>
      <c r="DH244" s="58">
        <v>58.329999999999991</v>
      </c>
      <c r="DI244" s="45" t="s">
        <v>35</v>
      </c>
      <c r="DJ244" s="59" t="str">
        <f t="shared" si="115"/>
        <v>No single majority group</v>
      </c>
      <c r="DK244" s="60">
        <v>50620</v>
      </c>
      <c r="DL244" s="58">
        <v>41.67</v>
      </c>
      <c r="DM244" s="58">
        <v>1.06</v>
      </c>
      <c r="DN244" s="58">
        <v>5</v>
      </c>
      <c r="DO244" s="58">
        <v>58.329999999999991</v>
      </c>
      <c r="DP244" s="82">
        <v>49.2</v>
      </c>
      <c r="DQ244" s="67">
        <v>75916.37</v>
      </c>
      <c r="DR244" s="58">
        <v>11.3</v>
      </c>
      <c r="DS244" s="58">
        <v>75.3</v>
      </c>
      <c r="DT244" s="53">
        <v>35</v>
      </c>
      <c r="DU244" s="55">
        <v>2.2999999999999998</v>
      </c>
      <c r="DV244" s="102">
        <v>36.5</v>
      </c>
      <c r="DW244" s="58">
        <v>81.2</v>
      </c>
      <c r="DX244" s="53">
        <v>79.629300000000001</v>
      </c>
      <c r="DY244" s="53">
        <v>35.761299999999999</v>
      </c>
      <c r="DZ244" s="78" t="s">
        <v>948</v>
      </c>
    </row>
    <row r="245" spans="1:130" s="5" customFormat="1" ht="14.25" customHeight="1">
      <c r="A245" s="45">
        <v>1252</v>
      </c>
      <c r="B245" s="46" t="s">
        <v>210</v>
      </c>
      <c r="C245" s="46">
        <v>2002</v>
      </c>
      <c r="D245" s="46" t="s">
        <v>219</v>
      </c>
      <c r="E245" s="46" t="s">
        <v>101</v>
      </c>
      <c r="F245" s="46">
        <v>4</v>
      </c>
      <c r="G245" s="48">
        <v>108000</v>
      </c>
      <c r="H245" s="46" t="s">
        <v>249</v>
      </c>
      <c r="I245" s="46">
        <v>1</v>
      </c>
      <c r="J245" s="46">
        <v>9</v>
      </c>
      <c r="K245" s="49" t="s">
        <v>256</v>
      </c>
      <c r="L245" s="49" t="s">
        <v>30</v>
      </c>
      <c r="M245" s="49" t="s">
        <v>29</v>
      </c>
      <c r="N245" s="49" t="s">
        <v>513</v>
      </c>
      <c r="O245" s="49"/>
      <c r="P245" s="49" t="s">
        <v>174</v>
      </c>
      <c r="Q245" s="49" t="s">
        <v>29</v>
      </c>
      <c r="R245" s="49">
        <v>0</v>
      </c>
      <c r="S245" s="50">
        <f t="shared" si="124"/>
        <v>0</v>
      </c>
      <c r="T245" s="49">
        <v>2</v>
      </c>
      <c r="U245" s="50">
        <f t="shared" si="125"/>
        <v>22.222222222222221</v>
      </c>
      <c r="V245" s="49" t="s">
        <v>867</v>
      </c>
      <c r="W245" s="49">
        <v>0</v>
      </c>
      <c r="X245" s="50">
        <f t="shared" si="126"/>
        <v>0</v>
      </c>
      <c r="Y245" s="51" t="str">
        <f t="shared" si="127"/>
        <v>No</v>
      </c>
      <c r="Z245" s="49" t="s">
        <v>29</v>
      </c>
      <c r="AA245" s="49" t="s">
        <v>29</v>
      </c>
      <c r="AB245" s="49" t="s">
        <v>29</v>
      </c>
      <c r="AC245" s="46" t="s">
        <v>26</v>
      </c>
      <c r="AD245" s="46" t="s">
        <v>27</v>
      </c>
      <c r="AE245" s="46" t="s">
        <v>73</v>
      </c>
      <c r="AF245" s="46" t="s">
        <v>29</v>
      </c>
      <c r="AG245" s="103"/>
      <c r="AH245" s="52">
        <v>12977</v>
      </c>
      <c r="AI245" s="52">
        <v>12977</v>
      </c>
      <c r="AJ245" s="102">
        <v>51.21</v>
      </c>
      <c r="AK245" s="104">
        <v>102.42</v>
      </c>
      <c r="AL245" s="102">
        <v>51.21</v>
      </c>
      <c r="AM245" s="102"/>
      <c r="AN245" s="53">
        <f t="shared" si="128"/>
        <v>102.42</v>
      </c>
      <c r="AO245" s="53">
        <v>14.61</v>
      </c>
      <c r="AP245" s="102"/>
      <c r="AQ245" s="102"/>
      <c r="AR245" s="102"/>
      <c r="AS245" s="102"/>
      <c r="AT245" s="102"/>
      <c r="AU245" s="102"/>
      <c r="AV245" s="102"/>
      <c r="AW245" s="102"/>
      <c r="AX245" s="102"/>
      <c r="AY245" s="102"/>
      <c r="AZ245" s="102"/>
      <c r="BA245" s="102"/>
      <c r="BB245" s="102"/>
      <c r="BC245" s="102"/>
      <c r="BD245" s="102"/>
      <c r="BE245" s="102"/>
      <c r="BF245" s="102"/>
      <c r="BG245" s="102"/>
      <c r="BH245" s="102"/>
      <c r="BI245" s="102"/>
      <c r="BJ245" s="102"/>
      <c r="BK245" s="102"/>
      <c r="BL245" s="102"/>
      <c r="BM245" s="102"/>
      <c r="BN245" s="102"/>
      <c r="BO245" s="102"/>
      <c r="BP245" s="102"/>
      <c r="BQ245" s="102"/>
      <c r="BR245" s="102"/>
      <c r="BS245" s="54" t="s">
        <v>29</v>
      </c>
      <c r="BT245" s="45" t="str">
        <f t="shared" si="117"/>
        <v>No</v>
      </c>
      <c r="BU245" s="45" t="str">
        <f t="shared" si="118"/>
        <v>No</v>
      </c>
      <c r="BV245" s="45" t="str">
        <f t="shared" si="119"/>
        <v>No</v>
      </c>
      <c r="BW245" s="55">
        <v>82.426736731188996</v>
      </c>
      <c r="BX245" s="55">
        <v>86.997087426568598</v>
      </c>
      <c r="BY245" s="55">
        <v>82.171736731189</v>
      </c>
      <c r="BZ245" s="55">
        <f t="shared" si="116"/>
        <v>86.742087426568602</v>
      </c>
      <c r="CA245" s="45">
        <v>2000</v>
      </c>
      <c r="CB245" s="55">
        <f t="shared" si="120"/>
        <v>26.423815438496469</v>
      </c>
      <c r="CC245" s="71" t="s">
        <v>266</v>
      </c>
      <c r="CD245" s="46" t="s">
        <v>267</v>
      </c>
      <c r="CE245" s="71" t="s">
        <v>783</v>
      </c>
      <c r="CF245" s="71">
        <v>2</v>
      </c>
      <c r="CG245" s="46" t="str">
        <f t="shared" si="129"/>
        <v>No</v>
      </c>
      <c r="CH245" s="46" t="s">
        <v>35</v>
      </c>
      <c r="CI245" s="56">
        <v>500</v>
      </c>
      <c r="CJ245" s="46" t="s">
        <v>180</v>
      </c>
      <c r="CK245" s="79">
        <v>1000</v>
      </c>
      <c r="CL245" s="49" t="s">
        <v>35</v>
      </c>
      <c r="CM245" s="50">
        <f>(2/9)*100</f>
        <v>22.222222222222221</v>
      </c>
      <c r="CN245" s="50"/>
      <c r="CO245" s="50"/>
      <c r="CP245" s="46" t="s">
        <v>23</v>
      </c>
      <c r="CQ245" s="46" t="s">
        <v>24</v>
      </c>
      <c r="CR245" s="46">
        <v>11</v>
      </c>
      <c r="CS245" s="46" t="s">
        <v>855</v>
      </c>
      <c r="CT245" s="46" t="s">
        <v>856</v>
      </c>
      <c r="CU245" s="46" t="s">
        <v>213</v>
      </c>
      <c r="CV245" s="46">
        <v>1</v>
      </c>
      <c r="CW245" s="46" t="s">
        <v>23</v>
      </c>
      <c r="CX245" s="49" t="s">
        <v>922</v>
      </c>
      <c r="CY245" s="49" t="s">
        <v>914</v>
      </c>
      <c r="CZ245" s="49">
        <v>0</v>
      </c>
      <c r="DA245" s="49">
        <v>1</v>
      </c>
      <c r="DB245" s="57">
        <v>49111</v>
      </c>
      <c r="DC245" s="58">
        <v>49.97</v>
      </c>
      <c r="DD245" s="58">
        <v>14.000000000000002</v>
      </c>
      <c r="DE245" s="58">
        <v>11.020000000000001</v>
      </c>
      <c r="DF245" s="58">
        <v>19.5</v>
      </c>
      <c r="DG245" s="58">
        <v>7.0798802712223328</v>
      </c>
      <c r="DH245" s="58">
        <v>50.029999999999994</v>
      </c>
      <c r="DI245" s="45" t="s">
        <v>35</v>
      </c>
      <c r="DJ245" s="59" t="str">
        <f t="shared" si="115"/>
        <v>No single majority group</v>
      </c>
      <c r="DK245" s="60">
        <v>49111</v>
      </c>
      <c r="DL245" s="58">
        <v>49.97</v>
      </c>
      <c r="DM245" s="58">
        <v>14.000000000000002</v>
      </c>
      <c r="DN245" s="58">
        <v>11.020000000000001</v>
      </c>
      <c r="DO245" s="58">
        <v>50.029999999999994</v>
      </c>
      <c r="DP245" s="82">
        <v>49.2</v>
      </c>
      <c r="DQ245" s="67">
        <v>75916.37</v>
      </c>
      <c r="DR245" s="58">
        <v>11.3</v>
      </c>
      <c r="DS245" s="58">
        <v>75.3</v>
      </c>
      <c r="DT245" s="53">
        <v>35</v>
      </c>
      <c r="DU245" s="55">
        <v>2.2999999999999998</v>
      </c>
      <c r="DV245" s="50">
        <v>36.5</v>
      </c>
      <c r="DW245" s="58">
        <v>81.2</v>
      </c>
      <c r="DX245" s="53">
        <v>79.629300000000001</v>
      </c>
      <c r="DY245" s="53">
        <v>35.761299999999999</v>
      </c>
      <c r="DZ245" s="63"/>
    </row>
    <row r="246" spans="1:130" s="5" customFormat="1" ht="14.25" customHeight="1">
      <c r="A246" s="45">
        <v>1253</v>
      </c>
      <c r="B246" s="46" t="s">
        <v>210</v>
      </c>
      <c r="C246" s="46">
        <v>2002</v>
      </c>
      <c r="D246" s="46" t="s">
        <v>219</v>
      </c>
      <c r="E246" s="46" t="s">
        <v>86</v>
      </c>
      <c r="F246" s="46">
        <v>4</v>
      </c>
      <c r="G246" s="48">
        <v>108000</v>
      </c>
      <c r="H246" s="46" t="s">
        <v>249</v>
      </c>
      <c r="I246" s="46">
        <v>1</v>
      </c>
      <c r="J246" s="46">
        <v>6</v>
      </c>
      <c r="K246" s="49" t="s">
        <v>257</v>
      </c>
      <c r="L246" s="49" t="s">
        <v>30</v>
      </c>
      <c r="M246" s="49" t="s">
        <v>29</v>
      </c>
      <c r="N246" s="49" t="s">
        <v>512</v>
      </c>
      <c r="O246" s="49"/>
      <c r="P246" s="49" t="s">
        <v>174</v>
      </c>
      <c r="Q246" s="49" t="s">
        <v>29</v>
      </c>
      <c r="R246" s="49">
        <v>1</v>
      </c>
      <c r="S246" s="50">
        <f t="shared" si="124"/>
        <v>16.666666666666664</v>
      </c>
      <c r="T246" s="49" t="str">
        <f>LEFT(V246,2)</f>
        <v>0</v>
      </c>
      <c r="U246" s="50">
        <f t="shared" si="125"/>
        <v>0</v>
      </c>
      <c r="V246" s="49">
        <v>0</v>
      </c>
      <c r="W246" s="49">
        <v>0</v>
      </c>
      <c r="X246" s="50">
        <f t="shared" si="126"/>
        <v>0</v>
      </c>
      <c r="Y246" s="51" t="str">
        <f t="shared" si="127"/>
        <v>No</v>
      </c>
      <c r="Z246" s="49" t="s">
        <v>35</v>
      </c>
      <c r="AA246" s="49" t="s">
        <v>23</v>
      </c>
      <c r="AB246" s="49" t="s">
        <v>23</v>
      </c>
      <c r="AC246" s="46" t="s">
        <v>267</v>
      </c>
      <c r="AD246" s="46" t="s">
        <v>268</v>
      </c>
      <c r="AE246" s="46" t="s">
        <v>73</v>
      </c>
      <c r="AF246" s="46" t="s">
        <v>29</v>
      </c>
      <c r="AG246" s="103"/>
      <c r="AH246" s="52">
        <v>27101</v>
      </c>
      <c r="AI246" s="52">
        <v>21091</v>
      </c>
      <c r="AJ246" s="102">
        <v>32.450000000000003</v>
      </c>
      <c r="AK246" s="104">
        <v>64.900000000000006</v>
      </c>
      <c r="AL246" s="111">
        <v>52.61</v>
      </c>
      <c r="AM246" s="111"/>
      <c r="AN246" s="53">
        <f t="shared" si="128"/>
        <v>105.22</v>
      </c>
      <c r="AO246" s="53">
        <v>36.229999999999997</v>
      </c>
      <c r="AP246" s="111"/>
      <c r="AQ246" s="111"/>
      <c r="AR246" s="111"/>
      <c r="AS246" s="111"/>
      <c r="AT246" s="111"/>
      <c r="AU246" s="111"/>
      <c r="AV246" s="50"/>
      <c r="AW246" s="50"/>
      <c r="AX246" s="111"/>
      <c r="AY246" s="111"/>
      <c r="AZ246" s="111"/>
      <c r="BA246" s="111"/>
      <c r="BB246" s="111"/>
      <c r="BC246" s="111"/>
      <c r="BD246" s="111"/>
      <c r="BE246" s="111"/>
      <c r="BF246" s="111"/>
      <c r="BG246" s="111"/>
      <c r="BH246" s="111"/>
      <c r="BI246" s="111"/>
      <c r="BJ246" s="50"/>
      <c r="BK246" s="50"/>
      <c r="BL246" s="50"/>
      <c r="BM246" s="50"/>
      <c r="BN246" s="102">
        <v>36.229999999999997</v>
      </c>
      <c r="BO246" s="50">
        <f>AI246-AH246</f>
        <v>-6010</v>
      </c>
      <c r="BP246" s="50">
        <f>BO246/AH246 *100</f>
        <v>-22.176303457436994</v>
      </c>
      <c r="BQ246" s="50" t="str">
        <f>IF(AND((AH246*(BN246/100))&gt;(AI246*(AL246/100)),  AJ246 &lt;&gt;  BN246), "yes", "no")</f>
        <v>no</v>
      </c>
      <c r="BR246" s="102"/>
      <c r="BS246" s="54" t="s">
        <v>35</v>
      </c>
      <c r="BT246" s="45" t="str">
        <f t="shared" si="117"/>
        <v>Yes</v>
      </c>
      <c r="BU246" s="45" t="str">
        <f t="shared" si="118"/>
        <v>Yes</v>
      </c>
      <c r="BV246" s="45" t="str">
        <f t="shared" si="119"/>
        <v>Yes</v>
      </c>
      <c r="BW246" s="55">
        <v>82.426736731188996</v>
      </c>
      <c r="BX246" s="55">
        <v>90.434857339291852</v>
      </c>
      <c r="BY246" s="55">
        <v>82.171736731189</v>
      </c>
      <c r="BZ246" s="55">
        <f t="shared" si="116"/>
        <v>90.179857339291857</v>
      </c>
      <c r="CA246" s="45">
        <v>2000</v>
      </c>
      <c r="CB246" s="55">
        <f t="shared" si="120"/>
        <v>36.380101424776626</v>
      </c>
      <c r="CC246" s="71" t="s">
        <v>266</v>
      </c>
      <c r="CD246" s="46" t="s">
        <v>267</v>
      </c>
      <c r="CE246" s="71" t="s">
        <v>783</v>
      </c>
      <c r="CF246" s="71">
        <v>2</v>
      </c>
      <c r="CG246" s="46" t="str">
        <f t="shared" si="129"/>
        <v>No</v>
      </c>
      <c r="CH246" s="46" t="s">
        <v>35</v>
      </c>
      <c r="CI246" s="56">
        <v>500</v>
      </c>
      <c r="CJ246" s="46" t="s">
        <v>180</v>
      </c>
      <c r="CK246" s="79">
        <v>1000</v>
      </c>
      <c r="CL246" s="49" t="s">
        <v>35</v>
      </c>
      <c r="CM246" s="50">
        <f>(3/6)*100</f>
        <v>50</v>
      </c>
      <c r="CN246" s="50"/>
      <c r="CO246" s="50"/>
      <c r="CP246" s="46" t="s">
        <v>23</v>
      </c>
      <c r="CQ246" s="46" t="s">
        <v>24</v>
      </c>
      <c r="CR246" s="46">
        <v>11</v>
      </c>
      <c r="CS246" s="46" t="s">
        <v>855</v>
      </c>
      <c r="CT246" s="46" t="s">
        <v>856</v>
      </c>
      <c r="CU246" s="46" t="s">
        <v>213</v>
      </c>
      <c r="CV246" s="46">
        <v>1</v>
      </c>
      <c r="CW246" s="46" t="s">
        <v>23</v>
      </c>
      <c r="CX246" s="49" t="s">
        <v>922</v>
      </c>
      <c r="CY246" s="49" t="s">
        <v>914</v>
      </c>
      <c r="CZ246" s="49">
        <v>0</v>
      </c>
      <c r="DA246" s="49">
        <v>1</v>
      </c>
      <c r="DB246" s="57">
        <v>57974</v>
      </c>
      <c r="DC246" s="58">
        <v>74.11999999999999</v>
      </c>
      <c r="DD246" s="58">
        <v>3.92</v>
      </c>
      <c r="DE246" s="58">
        <v>9.99</v>
      </c>
      <c r="DF246" s="58">
        <v>8.1100000000000012</v>
      </c>
      <c r="DG246" s="58">
        <v>5.1436851002173389</v>
      </c>
      <c r="DH246" s="58">
        <v>25.880000000000003</v>
      </c>
      <c r="DI246" s="45" t="s">
        <v>29</v>
      </c>
      <c r="DJ246" s="59" t="str">
        <f t="shared" si="115"/>
        <v>N/A</v>
      </c>
      <c r="DK246" s="60">
        <v>57974</v>
      </c>
      <c r="DL246" s="58">
        <v>74.11999999999999</v>
      </c>
      <c r="DM246" s="58">
        <v>3.92</v>
      </c>
      <c r="DN246" s="58">
        <v>9.99</v>
      </c>
      <c r="DO246" s="58">
        <v>25.880000000000003</v>
      </c>
      <c r="DP246" s="82">
        <v>49.2</v>
      </c>
      <c r="DQ246" s="67">
        <v>75916.37</v>
      </c>
      <c r="DR246" s="58">
        <v>11.3</v>
      </c>
      <c r="DS246" s="58">
        <v>75.3</v>
      </c>
      <c r="DT246" s="53">
        <v>35</v>
      </c>
      <c r="DU246" s="55">
        <v>2.2999999999999998</v>
      </c>
      <c r="DV246" s="50">
        <v>36.5</v>
      </c>
      <c r="DW246" s="58">
        <v>81.2</v>
      </c>
      <c r="DX246" s="53">
        <v>79.629300000000001</v>
      </c>
      <c r="DY246" s="53">
        <v>35.761299999999999</v>
      </c>
      <c r="DZ246" s="78" t="s">
        <v>949</v>
      </c>
    </row>
    <row r="247" spans="1:130" s="5" customFormat="1" ht="14.25" customHeight="1">
      <c r="A247" s="45">
        <v>1254</v>
      </c>
      <c r="B247" s="46" t="s">
        <v>210</v>
      </c>
      <c r="C247" s="46">
        <v>2002</v>
      </c>
      <c r="D247" s="46" t="s">
        <v>219</v>
      </c>
      <c r="E247" s="46" t="s">
        <v>271</v>
      </c>
      <c r="F247" s="46">
        <v>4</v>
      </c>
      <c r="G247" s="48">
        <v>108000</v>
      </c>
      <c r="H247" s="46" t="s">
        <v>249</v>
      </c>
      <c r="I247" s="46">
        <v>1</v>
      </c>
      <c r="J247" s="46">
        <v>1</v>
      </c>
      <c r="K247" s="49" t="s">
        <v>258</v>
      </c>
      <c r="L247" s="49" t="s">
        <v>40</v>
      </c>
      <c r="M247" s="49" t="s">
        <v>35</v>
      </c>
      <c r="N247" s="49" t="s">
        <v>513</v>
      </c>
      <c r="O247" s="49"/>
      <c r="P247" s="49" t="s">
        <v>201</v>
      </c>
      <c r="Q247" s="49" t="s">
        <v>35</v>
      </c>
      <c r="R247" s="49">
        <v>1</v>
      </c>
      <c r="S247" s="50">
        <f t="shared" si="124"/>
        <v>100</v>
      </c>
      <c r="T247" s="49">
        <v>1</v>
      </c>
      <c r="U247" s="50">
        <f t="shared" si="125"/>
        <v>100</v>
      </c>
      <c r="V247" s="49" t="s">
        <v>858</v>
      </c>
      <c r="W247" s="49">
        <v>1</v>
      </c>
      <c r="X247" s="50">
        <f t="shared" si="126"/>
        <v>100</v>
      </c>
      <c r="Y247" s="51" t="str">
        <f t="shared" si="127"/>
        <v>Yes</v>
      </c>
      <c r="Z247" s="49" t="s">
        <v>29</v>
      </c>
      <c r="AA247" s="49" t="s">
        <v>35</v>
      </c>
      <c r="AB247" s="45" t="s">
        <v>35</v>
      </c>
      <c r="AC247" s="46" t="s">
        <v>26</v>
      </c>
      <c r="AD247" s="46" t="s">
        <v>27</v>
      </c>
      <c r="AE247" s="46" t="s">
        <v>73</v>
      </c>
      <c r="AF247" s="46" t="s">
        <v>29</v>
      </c>
      <c r="AG247" s="103"/>
      <c r="AH247" s="52">
        <v>9978</v>
      </c>
      <c r="AI247" s="52">
        <v>9978</v>
      </c>
      <c r="AJ247" s="102">
        <v>97.45</v>
      </c>
      <c r="AK247" s="104">
        <v>194.9</v>
      </c>
      <c r="AL247" s="102">
        <v>97.45</v>
      </c>
      <c r="AM247" s="102"/>
      <c r="AN247" s="53">
        <f t="shared" si="128"/>
        <v>194.9</v>
      </c>
      <c r="AO247" s="53" t="s">
        <v>23</v>
      </c>
      <c r="AP247" s="102"/>
      <c r="AQ247" s="102"/>
      <c r="AR247" s="50"/>
      <c r="AS247" s="50"/>
      <c r="AT247" s="102"/>
      <c r="AU247" s="102"/>
      <c r="AV247" s="50"/>
      <c r="AW247" s="50"/>
      <c r="AX247" s="50"/>
      <c r="AY247" s="50"/>
      <c r="AZ247" s="102"/>
      <c r="BA247" s="102"/>
      <c r="BB247" s="102"/>
      <c r="BC247" s="102"/>
      <c r="BD247" s="50"/>
      <c r="BE247" s="50"/>
      <c r="BF247" s="50"/>
      <c r="BG247" s="50"/>
      <c r="BH247" s="102"/>
      <c r="BI247" s="102"/>
      <c r="BJ247" s="50"/>
      <c r="BK247" s="50"/>
      <c r="BL247" s="50"/>
      <c r="BM247" s="50"/>
      <c r="BN247" s="102"/>
      <c r="BO247" s="50"/>
      <c r="BP247" s="50"/>
      <c r="BQ247" s="50"/>
      <c r="BR247" s="102"/>
      <c r="BS247" s="54" t="s">
        <v>23</v>
      </c>
      <c r="BT247" s="45" t="str">
        <f t="shared" si="117"/>
        <v>No</v>
      </c>
      <c r="BU247" s="45" t="str">
        <f t="shared" si="118"/>
        <v>No</v>
      </c>
      <c r="BV247" s="45" t="str">
        <f t="shared" si="119"/>
        <v>No</v>
      </c>
      <c r="BW247" s="55">
        <v>82.426736731188996</v>
      </c>
      <c r="BX247" s="55">
        <v>89.613384580601391</v>
      </c>
      <c r="BY247" s="55">
        <v>82.171736731189</v>
      </c>
      <c r="BZ247" s="55">
        <f t="shared" si="116"/>
        <v>89.358384580601395</v>
      </c>
      <c r="CA247" s="45">
        <v>2000</v>
      </c>
      <c r="CB247" s="55">
        <f t="shared" si="120"/>
        <v>21.937384574795534</v>
      </c>
      <c r="CC247" s="71" t="s">
        <v>266</v>
      </c>
      <c r="CD247" s="46" t="s">
        <v>267</v>
      </c>
      <c r="CE247" s="71" t="s">
        <v>783</v>
      </c>
      <c r="CF247" s="71">
        <v>2</v>
      </c>
      <c r="CG247" s="46" t="str">
        <f t="shared" si="129"/>
        <v>No</v>
      </c>
      <c r="CH247" s="46" t="s">
        <v>35</v>
      </c>
      <c r="CI247" s="56">
        <v>500</v>
      </c>
      <c r="CJ247" s="46" t="s">
        <v>180</v>
      </c>
      <c r="CK247" s="79">
        <v>1000</v>
      </c>
      <c r="CL247" s="49" t="s">
        <v>35</v>
      </c>
      <c r="CM247" s="50">
        <v>0</v>
      </c>
      <c r="CN247" s="50"/>
      <c r="CO247" s="50"/>
      <c r="CP247" s="46" t="s">
        <v>23</v>
      </c>
      <c r="CQ247" s="46" t="s">
        <v>24</v>
      </c>
      <c r="CR247" s="46">
        <v>11</v>
      </c>
      <c r="CS247" s="46" t="s">
        <v>855</v>
      </c>
      <c r="CT247" s="46" t="s">
        <v>856</v>
      </c>
      <c r="CU247" s="46" t="s">
        <v>213</v>
      </c>
      <c r="CV247" s="46">
        <v>1</v>
      </c>
      <c r="CW247" s="46" t="s">
        <v>23</v>
      </c>
      <c r="CX247" s="49" t="s">
        <v>922</v>
      </c>
      <c r="CY247" s="49" t="s">
        <v>914</v>
      </c>
      <c r="CZ247" s="49">
        <v>0</v>
      </c>
      <c r="DA247" s="49">
        <v>1</v>
      </c>
      <c r="DB247" s="57">
        <v>45484</v>
      </c>
      <c r="DC247" s="58">
        <v>26.33</v>
      </c>
      <c r="DD247" s="58">
        <v>28.050000000000004</v>
      </c>
      <c r="DE247" s="58">
        <v>12.790000000000001</v>
      </c>
      <c r="DF247" s="58">
        <v>27.889999999999997</v>
      </c>
      <c r="DG247" s="58">
        <v>6.0922522205610763</v>
      </c>
      <c r="DH247" s="58">
        <v>73.67</v>
      </c>
      <c r="DI247" s="45" t="s">
        <v>35</v>
      </c>
      <c r="DJ247" s="59" t="str">
        <f t="shared" si="115"/>
        <v>No single majority group</v>
      </c>
      <c r="DK247" s="60">
        <v>45484</v>
      </c>
      <c r="DL247" s="58">
        <v>26.33</v>
      </c>
      <c r="DM247" s="58">
        <v>28.050000000000004</v>
      </c>
      <c r="DN247" s="58">
        <v>12.790000000000001</v>
      </c>
      <c r="DO247" s="58">
        <v>73.67</v>
      </c>
      <c r="DP247" s="82">
        <v>49.2</v>
      </c>
      <c r="DQ247" s="67">
        <v>75916.37</v>
      </c>
      <c r="DR247" s="58">
        <v>11.3</v>
      </c>
      <c r="DS247" s="58">
        <v>75.3</v>
      </c>
      <c r="DT247" s="53">
        <v>35</v>
      </c>
      <c r="DU247" s="55">
        <v>2.2999999999999998</v>
      </c>
      <c r="DV247" s="50">
        <v>36.5</v>
      </c>
      <c r="DW247" s="58">
        <v>81.2</v>
      </c>
      <c r="DX247" s="53">
        <v>79.629300000000001</v>
      </c>
      <c r="DY247" s="53">
        <v>35.761299999999999</v>
      </c>
      <c r="DZ247" s="63"/>
    </row>
    <row r="248" spans="1:130" s="5" customFormat="1" ht="14.25" customHeight="1">
      <c r="A248" s="45">
        <v>1249</v>
      </c>
      <c r="B248" s="46" t="s">
        <v>210</v>
      </c>
      <c r="C248" s="46">
        <v>2002</v>
      </c>
      <c r="D248" s="46" t="s">
        <v>217</v>
      </c>
      <c r="E248" s="46" t="s">
        <v>22</v>
      </c>
      <c r="F248" s="46">
        <v>4</v>
      </c>
      <c r="G248" s="48">
        <v>180000</v>
      </c>
      <c r="H248" s="46" t="s">
        <v>249</v>
      </c>
      <c r="I248" s="46">
        <v>1</v>
      </c>
      <c r="J248" s="46">
        <v>2</v>
      </c>
      <c r="K248" s="49" t="s">
        <v>218</v>
      </c>
      <c r="L248" s="49" t="s">
        <v>30</v>
      </c>
      <c r="M248" s="49" t="s">
        <v>29</v>
      </c>
      <c r="N248" s="49" t="s">
        <v>512</v>
      </c>
      <c r="O248" s="49"/>
      <c r="P248" s="49" t="s">
        <v>34</v>
      </c>
      <c r="Q248" s="49" t="s">
        <v>35</v>
      </c>
      <c r="R248" s="49">
        <v>1</v>
      </c>
      <c r="S248" s="50">
        <f t="shared" si="124"/>
        <v>50</v>
      </c>
      <c r="T248" s="49">
        <v>2</v>
      </c>
      <c r="U248" s="50">
        <f t="shared" si="125"/>
        <v>100</v>
      </c>
      <c r="V248" s="49" t="s">
        <v>883</v>
      </c>
      <c r="W248" s="49">
        <v>1</v>
      </c>
      <c r="X248" s="50">
        <f t="shared" si="126"/>
        <v>50</v>
      </c>
      <c r="Y248" s="51" t="str">
        <f t="shared" si="127"/>
        <v>No</v>
      </c>
      <c r="Z248" s="49" t="s">
        <v>35</v>
      </c>
      <c r="AA248" s="49" t="s">
        <v>23</v>
      </c>
      <c r="AB248" s="49" t="s">
        <v>23</v>
      </c>
      <c r="AC248" s="46" t="s">
        <v>151</v>
      </c>
      <c r="AD248" s="46" t="s">
        <v>168</v>
      </c>
      <c r="AE248" s="46"/>
      <c r="AF248" s="46" t="s">
        <v>29</v>
      </c>
      <c r="AG248" s="103"/>
      <c r="AH248" s="52">
        <v>121222</v>
      </c>
      <c r="AI248" s="52">
        <v>121222</v>
      </c>
      <c r="AJ248" s="102">
        <v>54.43</v>
      </c>
      <c r="AK248" s="104">
        <v>108.86</v>
      </c>
      <c r="AL248" s="102">
        <v>54.43</v>
      </c>
      <c r="AM248" s="102"/>
      <c r="AN248" s="53">
        <f t="shared" si="128"/>
        <v>108.86</v>
      </c>
      <c r="AO248" s="53">
        <v>45.38</v>
      </c>
      <c r="AP248" s="102"/>
      <c r="AQ248" s="102"/>
      <c r="AR248" s="102"/>
      <c r="AS248" s="102"/>
      <c r="AT248" s="102"/>
      <c r="AU248" s="102"/>
      <c r="AV248" s="102"/>
      <c r="AW248" s="102"/>
      <c r="AX248" s="102"/>
      <c r="AY248" s="102"/>
      <c r="AZ248" s="102"/>
      <c r="BA248" s="102"/>
      <c r="BB248" s="102"/>
      <c r="BC248" s="102"/>
      <c r="BD248" s="102"/>
      <c r="BE248" s="102"/>
      <c r="BF248" s="102"/>
      <c r="BG248" s="102"/>
      <c r="BH248" s="102"/>
      <c r="BI248" s="102"/>
      <c r="BJ248" s="102"/>
      <c r="BK248" s="102"/>
      <c r="BL248" s="102"/>
      <c r="BM248" s="102"/>
      <c r="BN248" s="102"/>
      <c r="BO248" s="102"/>
      <c r="BP248" s="102"/>
      <c r="BQ248" s="102"/>
      <c r="BR248" s="102"/>
      <c r="BS248" s="54"/>
      <c r="BT248" s="45" t="str">
        <f t="shared" si="117"/>
        <v>Yes</v>
      </c>
      <c r="BU248" s="45" t="str">
        <f t="shared" si="118"/>
        <v>Yes</v>
      </c>
      <c r="BV248" s="45" t="str">
        <f t="shared" si="119"/>
        <v>No</v>
      </c>
      <c r="BW248" s="55">
        <v>82.426736731188981</v>
      </c>
      <c r="BX248" s="55">
        <v>82.426736731188981</v>
      </c>
      <c r="BY248" s="55">
        <v>82.171736731188972</v>
      </c>
      <c r="BZ248" s="55">
        <f t="shared" si="116"/>
        <v>82.171736731188986</v>
      </c>
      <c r="CA248" s="45">
        <v>2000</v>
      </c>
      <c r="CB248" s="55">
        <f t="shared" si="120"/>
        <v>21.894071431796633</v>
      </c>
      <c r="CC248" s="71" t="s">
        <v>150</v>
      </c>
      <c r="CD248" s="46" t="s">
        <v>151</v>
      </c>
      <c r="CE248" s="71" t="s">
        <v>783</v>
      </c>
      <c r="CF248" s="71">
        <v>2</v>
      </c>
      <c r="CG248" s="46" t="str">
        <f t="shared" si="129"/>
        <v>Yes</v>
      </c>
      <c r="CH248" s="46" t="s">
        <v>29</v>
      </c>
      <c r="CI248" s="56">
        <v>3600</v>
      </c>
      <c r="CJ248" s="46" t="s">
        <v>180</v>
      </c>
      <c r="CK248" s="79">
        <f>CI248*2</f>
        <v>7200</v>
      </c>
      <c r="CL248" s="49" t="s">
        <v>29</v>
      </c>
      <c r="CM248" s="50">
        <v>0</v>
      </c>
      <c r="CN248" s="50"/>
      <c r="CO248" s="50"/>
      <c r="CP248" s="46" t="s">
        <v>23</v>
      </c>
      <c r="CQ248" s="46" t="s">
        <v>23</v>
      </c>
      <c r="CR248" s="46"/>
      <c r="CS248" s="46" t="s">
        <v>855</v>
      </c>
      <c r="CT248" s="46" t="s">
        <v>25</v>
      </c>
      <c r="CU248" s="46" t="s">
        <v>213</v>
      </c>
      <c r="CV248" s="46">
        <v>1</v>
      </c>
      <c r="CW248" s="46" t="s">
        <v>23</v>
      </c>
      <c r="CX248" s="49" t="s">
        <v>922</v>
      </c>
      <c r="CY248" s="49" t="s">
        <v>914</v>
      </c>
      <c r="CZ248" s="49">
        <v>0</v>
      </c>
      <c r="DA248" s="49">
        <v>1</v>
      </c>
      <c r="DB248" s="68">
        <v>553675</v>
      </c>
      <c r="DC248" s="58">
        <v>52.14</v>
      </c>
      <c r="DD248" s="58">
        <v>8</v>
      </c>
      <c r="DE248" s="58">
        <v>9.49</v>
      </c>
      <c r="DF248" s="58">
        <v>26.69</v>
      </c>
      <c r="DG248" s="58">
        <v>3.6800000000000055</v>
      </c>
      <c r="DH248" s="58">
        <v>47.86</v>
      </c>
      <c r="DI248" s="45" t="s">
        <v>29</v>
      </c>
      <c r="DJ248" s="59" t="str">
        <f t="shared" si="115"/>
        <v>N/A</v>
      </c>
      <c r="DK248" s="69">
        <v>553675</v>
      </c>
      <c r="DL248" s="58">
        <v>52.14</v>
      </c>
      <c r="DM248" s="58">
        <v>8</v>
      </c>
      <c r="DN248" s="58">
        <v>9.49</v>
      </c>
      <c r="DO248" s="58">
        <v>47.86</v>
      </c>
      <c r="DP248" s="82">
        <v>49.2</v>
      </c>
      <c r="DQ248" s="67">
        <v>75916.37</v>
      </c>
      <c r="DR248" s="58">
        <v>11.3</v>
      </c>
      <c r="DS248" s="58">
        <v>75.3</v>
      </c>
      <c r="DT248" s="53">
        <v>35</v>
      </c>
      <c r="DU248" s="55">
        <v>2.2999999999999998</v>
      </c>
      <c r="DV248" s="50">
        <v>36.5</v>
      </c>
      <c r="DW248" s="58">
        <v>81.2</v>
      </c>
      <c r="DX248" s="53">
        <v>79.629300000000001</v>
      </c>
      <c r="DY248" s="53">
        <v>35.761299999999999</v>
      </c>
      <c r="DZ248" s="63"/>
    </row>
    <row r="249" spans="1:130" s="5" customFormat="1" ht="14.25" customHeight="1">
      <c r="A249" s="45">
        <v>1245</v>
      </c>
      <c r="B249" s="46" t="s">
        <v>210</v>
      </c>
      <c r="C249" s="46">
        <v>2003</v>
      </c>
      <c r="D249" s="46" t="s">
        <v>240</v>
      </c>
      <c r="E249" s="46" t="s">
        <v>22</v>
      </c>
      <c r="F249" s="46">
        <v>4</v>
      </c>
      <c r="G249" s="48">
        <v>220000</v>
      </c>
      <c r="H249" s="46" t="s">
        <v>249</v>
      </c>
      <c r="I249" s="46">
        <v>1</v>
      </c>
      <c r="J249" s="46">
        <v>3</v>
      </c>
      <c r="K249" s="49" t="s">
        <v>251</v>
      </c>
      <c r="L249" s="49" t="s">
        <v>40</v>
      </c>
      <c r="M249" s="49" t="s">
        <v>35</v>
      </c>
      <c r="N249" s="49" t="s">
        <v>618</v>
      </c>
      <c r="O249" s="49"/>
      <c r="P249" s="49" t="s">
        <v>912</v>
      </c>
      <c r="Q249" s="49" t="s">
        <v>35</v>
      </c>
      <c r="R249" s="49">
        <v>1</v>
      </c>
      <c r="S249" s="50">
        <f t="shared" si="124"/>
        <v>33.333333333333329</v>
      </c>
      <c r="T249" s="49">
        <v>2</v>
      </c>
      <c r="U249" s="50">
        <f t="shared" si="125"/>
        <v>66.666666666666657</v>
      </c>
      <c r="V249" s="81" t="s">
        <v>884</v>
      </c>
      <c r="W249" s="49">
        <v>1</v>
      </c>
      <c r="X249" s="50">
        <f t="shared" si="126"/>
        <v>33.333333333333329</v>
      </c>
      <c r="Y249" s="51" t="str">
        <f t="shared" si="127"/>
        <v>Yes</v>
      </c>
      <c r="Z249" s="49" t="s">
        <v>29</v>
      </c>
      <c r="AA249" s="49" t="s">
        <v>29</v>
      </c>
      <c r="AB249" s="49" t="s">
        <v>29</v>
      </c>
      <c r="AC249" s="46" t="s">
        <v>267</v>
      </c>
      <c r="AD249" s="46" t="s">
        <v>268</v>
      </c>
      <c r="AE249" s="46" t="s">
        <v>228</v>
      </c>
      <c r="AF249" s="46" t="s">
        <v>29</v>
      </c>
      <c r="AG249" s="103"/>
      <c r="AH249" s="52">
        <v>196892</v>
      </c>
      <c r="AI249" s="52">
        <v>242728</v>
      </c>
      <c r="AJ249" s="102">
        <v>33.65</v>
      </c>
      <c r="AK249" s="104">
        <v>67.3</v>
      </c>
      <c r="AL249" s="102">
        <v>43.51</v>
      </c>
      <c r="AM249" s="102"/>
      <c r="AN249" s="53">
        <f t="shared" si="128"/>
        <v>87.02</v>
      </c>
      <c r="AO249" s="53">
        <v>35.85</v>
      </c>
      <c r="AP249" s="102"/>
      <c r="AQ249" s="102"/>
      <c r="AR249" s="50"/>
      <c r="AS249" s="50"/>
      <c r="AT249" s="102"/>
      <c r="AU249" s="102"/>
      <c r="AV249" s="50"/>
      <c r="AW249" s="50"/>
      <c r="AX249" s="50"/>
      <c r="AY249" s="50"/>
      <c r="AZ249" s="102"/>
      <c r="BA249" s="102"/>
      <c r="BB249" s="102"/>
      <c r="BC249" s="102"/>
      <c r="BD249" s="50"/>
      <c r="BE249" s="50"/>
      <c r="BF249" s="50"/>
      <c r="BG249" s="50"/>
      <c r="BH249" s="102"/>
      <c r="BI249" s="102"/>
      <c r="BJ249" s="50"/>
      <c r="BK249" s="50"/>
      <c r="BL249" s="50"/>
      <c r="BM249" s="50"/>
      <c r="BN249" s="102">
        <v>35.85</v>
      </c>
      <c r="BO249" s="50">
        <f>AI249-AH249</f>
        <v>45836</v>
      </c>
      <c r="BP249" s="50">
        <f>BO249/AH249 *100</f>
        <v>23.279767588322532</v>
      </c>
      <c r="BQ249" s="50" t="str">
        <f>IF(AND((AH249*(BN249/100))&gt;(AI249*(AL249/100)),  AJ249 &lt;&gt;  BN249), "yes", "no")</f>
        <v>no</v>
      </c>
      <c r="BR249" s="102"/>
      <c r="BS249" s="54" t="s">
        <v>35</v>
      </c>
      <c r="BT249" s="45" t="str">
        <f t="shared" si="117"/>
        <v>Yes</v>
      </c>
      <c r="BU249" s="45" t="str">
        <f t="shared" si="118"/>
        <v>Yes</v>
      </c>
      <c r="BV249" s="45" t="str">
        <f t="shared" si="119"/>
        <v>Yes</v>
      </c>
      <c r="BW249" s="55">
        <f t="shared" ref="BW249:BX251" si="130">(296772/(296772+54355))*100</f>
        <v>84.519846095572262</v>
      </c>
      <c r="BX249" s="55">
        <f t="shared" si="130"/>
        <v>84.519846095572262</v>
      </c>
      <c r="BY249" s="55">
        <v>85.749846095572252</v>
      </c>
      <c r="BZ249" s="55">
        <f t="shared" ref="BZ249:BZ268" si="131">BX249-(-0.0246*100/2)</f>
        <v>85.749846095572266</v>
      </c>
      <c r="CA249" s="45">
        <v>2004</v>
      </c>
      <c r="CB249" s="55">
        <f t="shared" si="120"/>
        <v>43.837852969595176</v>
      </c>
      <c r="CC249" s="71" t="s">
        <v>266</v>
      </c>
      <c r="CD249" s="46" t="s">
        <v>267</v>
      </c>
      <c r="CE249" s="71" t="s">
        <v>783</v>
      </c>
      <c r="CF249" s="71">
        <v>2</v>
      </c>
      <c r="CG249" s="46" t="str">
        <f t="shared" si="129"/>
        <v>No</v>
      </c>
      <c r="CH249" s="46" t="s">
        <v>29</v>
      </c>
      <c r="CI249" s="56">
        <v>4400</v>
      </c>
      <c r="CJ249" s="46" t="s">
        <v>180</v>
      </c>
      <c r="CK249" s="79">
        <f>CI249*2</f>
        <v>8800</v>
      </c>
      <c r="CL249" s="49" t="s">
        <v>29</v>
      </c>
      <c r="CM249" s="50">
        <v>0</v>
      </c>
      <c r="CN249" s="50"/>
      <c r="CO249" s="50"/>
      <c r="CP249" s="46" t="s">
        <v>23</v>
      </c>
      <c r="CQ249" s="46" t="s">
        <v>23</v>
      </c>
      <c r="CR249" s="46">
        <v>11</v>
      </c>
      <c r="CS249" s="46" t="s">
        <v>855</v>
      </c>
      <c r="CT249" s="46" t="s">
        <v>53</v>
      </c>
      <c r="CU249" s="46" t="s">
        <v>213</v>
      </c>
      <c r="CV249" s="46">
        <v>1</v>
      </c>
      <c r="CW249" s="46" t="s">
        <v>23</v>
      </c>
      <c r="CX249" s="49" t="s">
        <v>922</v>
      </c>
      <c r="CY249" s="49" t="s">
        <v>914</v>
      </c>
      <c r="CZ249" s="49">
        <v>0</v>
      </c>
      <c r="DA249" s="49">
        <v>1</v>
      </c>
      <c r="DB249" s="57">
        <v>553695</v>
      </c>
      <c r="DC249" s="58">
        <v>52.14</v>
      </c>
      <c r="DD249" s="58">
        <v>8</v>
      </c>
      <c r="DE249" s="58">
        <v>9.49</v>
      </c>
      <c r="DF249" s="58">
        <v>26.69</v>
      </c>
      <c r="DG249" s="58">
        <v>3.6800000000000055</v>
      </c>
      <c r="DH249" s="58">
        <v>47.86</v>
      </c>
      <c r="DI249" s="45" t="s">
        <v>29</v>
      </c>
      <c r="DJ249" s="59" t="str">
        <f t="shared" si="115"/>
        <v>N/A</v>
      </c>
      <c r="DK249" s="60">
        <v>553695</v>
      </c>
      <c r="DL249" s="58">
        <v>52.14</v>
      </c>
      <c r="DM249" s="58">
        <v>8</v>
      </c>
      <c r="DN249" s="58">
        <v>9.49</v>
      </c>
      <c r="DO249" s="58">
        <v>47.86</v>
      </c>
      <c r="DP249" s="82">
        <v>49.2</v>
      </c>
      <c r="DQ249" s="67">
        <v>75916.37</v>
      </c>
      <c r="DR249" s="58">
        <v>11.3</v>
      </c>
      <c r="DS249" s="58">
        <v>75.3</v>
      </c>
      <c r="DT249" s="53">
        <v>35</v>
      </c>
      <c r="DU249" s="55">
        <v>2.2999999999999998</v>
      </c>
      <c r="DV249" s="50">
        <v>36.5</v>
      </c>
      <c r="DW249" s="58">
        <v>81.2</v>
      </c>
      <c r="DX249" s="53">
        <v>79.629300000000001</v>
      </c>
      <c r="DY249" s="53">
        <v>35.761299999999999</v>
      </c>
      <c r="DZ249" s="63"/>
    </row>
    <row r="250" spans="1:130" s="5" customFormat="1" ht="14.25" customHeight="1">
      <c r="A250" s="45">
        <v>1246</v>
      </c>
      <c r="B250" s="46" t="s">
        <v>210</v>
      </c>
      <c r="C250" s="46">
        <v>2003</v>
      </c>
      <c r="D250" s="46" t="s">
        <v>38</v>
      </c>
      <c r="E250" s="46" t="s">
        <v>22</v>
      </c>
      <c r="F250" s="46">
        <v>4</v>
      </c>
      <c r="G250" s="48">
        <v>270000</v>
      </c>
      <c r="H250" s="46" t="s">
        <v>249</v>
      </c>
      <c r="I250" s="46">
        <v>1</v>
      </c>
      <c r="J250" s="46">
        <v>9</v>
      </c>
      <c r="K250" s="49" t="s">
        <v>252</v>
      </c>
      <c r="L250" s="49" t="s">
        <v>30</v>
      </c>
      <c r="M250" s="49" t="s">
        <v>29</v>
      </c>
      <c r="N250" s="49" t="s">
        <v>512</v>
      </c>
      <c r="O250" s="49"/>
      <c r="P250" s="49" t="s">
        <v>174</v>
      </c>
      <c r="Q250" s="49" t="s">
        <v>29</v>
      </c>
      <c r="R250" s="49">
        <v>2</v>
      </c>
      <c r="S250" s="50">
        <f t="shared" si="124"/>
        <v>22.222222222222221</v>
      </c>
      <c r="T250" s="49" t="str">
        <f>LEFT(V250,2)</f>
        <v xml:space="preserve">1 </v>
      </c>
      <c r="U250" s="50">
        <f t="shared" si="125"/>
        <v>11.111111111111111</v>
      </c>
      <c r="V250" s="49" t="s">
        <v>789</v>
      </c>
      <c r="W250" s="49">
        <v>0</v>
      </c>
      <c r="X250" s="50">
        <f t="shared" si="126"/>
        <v>0</v>
      </c>
      <c r="Y250" s="51" t="str">
        <f t="shared" si="127"/>
        <v>No</v>
      </c>
      <c r="Z250" s="49" t="s">
        <v>35</v>
      </c>
      <c r="AA250" s="49" t="s">
        <v>23</v>
      </c>
      <c r="AB250" s="49" t="s">
        <v>23</v>
      </c>
      <c r="AC250" s="46" t="s">
        <v>267</v>
      </c>
      <c r="AD250" s="46" t="s">
        <v>268</v>
      </c>
      <c r="AE250" s="46" t="s">
        <v>228</v>
      </c>
      <c r="AF250" s="46" t="s">
        <v>29</v>
      </c>
      <c r="AG250" s="103"/>
      <c r="AH250" s="52">
        <v>205005</v>
      </c>
      <c r="AI250" s="52">
        <v>253872</v>
      </c>
      <c r="AJ250" s="102">
        <v>41.92</v>
      </c>
      <c r="AK250" s="104">
        <v>83.84</v>
      </c>
      <c r="AL250" s="102">
        <v>52.81</v>
      </c>
      <c r="AM250" s="102"/>
      <c r="AN250" s="53">
        <f t="shared" si="128"/>
        <v>105.62</v>
      </c>
      <c r="AO250" s="53">
        <v>19.57</v>
      </c>
      <c r="AP250" s="102"/>
      <c r="AQ250" s="102"/>
      <c r="AR250" s="50"/>
      <c r="AS250" s="50"/>
      <c r="AT250" s="102"/>
      <c r="AU250" s="102"/>
      <c r="AV250" s="50"/>
      <c r="AW250" s="50"/>
      <c r="AX250" s="50"/>
      <c r="AY250" s="50"/>
      <c r="AZ250" s="102"/>
      <c r="BA250" s="102"/>
      <c r="BB250" s="102"/>
      <c r="BC250" s="102"/>
      <c r="BD250" s="50"/>
      <c r="BE250" s="50"/>
      <c r="BF250" s="50"/>
      <c r="BG250" s="50"/>
      <c r="BH250" s="102"/>
      <c r="BI250" s="102"/>
      <c r="BJ250" s="50"/>
      <c r="BK250" s="50"/>
      <c r="BL250" s="50"/>
      <c r="BM250" s="50"/>
      <c r="BN250" s="102">
        <v>41.92</v>
      </c>
      <c r="BO250" s="50">
        <f>AI250-AH250</f>
        <v>48867</v>
      </c>
      <c r="BP250" s="50">
        <f>BO250/AH250 *100</f>
        <v>23.836979585863759</v>
      </c>
      <c r="BQ250" s="50" t="str">
        <f>IF(AND((AH250*(BN250/100))&gt;(AI250*(AL250/100)),  AJ250 &lt;&gt;  BN250), "yes", "no")</f>
        <v>no</v>
      </c>
      <c r="BR250" s="102"/>
      <c r="BS250" s="54" t="s">
        <v>29</v>
      </c>
      <c r="BT250" s="45" t="str">
        <f t="shared" si="117"/>
        <v>No</v>
      </c>
      <c r="BU250" s="45" t="str">
        <f t="shared" si="118"/>
        <v>No</v>
      </c>
      <c r="BV250" s="45" t="str">
        <f t="shared" si="119"/>
        <v>No</v>
      </c>
      <c r="BW250" s="55">
        <f t="shared" si="130"/>
        <v>84.519846095572262</v>
      </c>
      <c r="BX250" s="55">
        <f t="shared" si="130"/>
        <v>84.519846095572262</v>
      </c>
      <c r="BY250" s="55">
        <v>85.749846095572252</v>
      </c>
      <c r="BZ250" s="55">
        <f t="shared" si="131"/>
        <v>85.749846095572266</v>
      </c>
      <c r="CA250" s="45">
        <v>2004</v>
      </c>
      <c r="CB250" s="55">
        <f t="shared" si="120"/>
        <v>45.850513369273699</v>
      </c>
      <c r="CC250" s="71" t="s">
        <v>266</v>
      </c>
      <c r="CD250" s="46" t="s">
        <v>267</v>
      </c>
      <c r="CE250" s="71" t="s">
        <v>783</v>
      </c>
      <c r="CF250" s="71">
        <v>2</v>
      </c>
      <c r="CG250" s="46" t="str">
        <f t="shared" si="129"/>
        <v>No</v>
      </c>
      <c r="CH250" s="46" t="s">
        <v>35</v>
      </c>
      <c r="CI250" s="56">
        <v>4800</v>
      </c>
      <c r="CJ250" s="46" t="s">
        <v>180</v>
      </c>
      <c r="CK250" s="79">
        <f>CI250*2</f>
        <v>9600</v>
      </c>
      <c r="CL250" s="49" t="s">
        <v>29</v>
      </c>
      <c r="CM250" s="50">
        <v>0</v>
      </c>
      <c r="CN250" s="50">
        <v>11098963.920000002</v>
      </c>
      <c r="CO250" s="50" t="s">
        <v>35</v>
      </c>
      <c r="CP250" s="46" t="s">
        <v>23</v>
      </c>
      <c r="CQ250" s="46" t="s">
        <v>23</v>
      </c>
      <c r="CR250" s="46">
        <v>11</v>
      </c>
      <c r="CS250" s="46" t="s">
        <v>855</v>
      </c>
      <c r="CT250" s="46" t="s">
        <v>53</v>
      </c>
      <c r="CU250" s="46" t="s">
        <v>213</v>
      </c>
      <c r="CV250" s="46">
        <v>1</v>
      </c>
      <c r="CW250" s="46" t="s">
        <v>23</v>
      </c>
      <c r="CX250" s="49" t="s">
        <v>922</v>
      </c>
      <c r="CY250" s="49" t="s">
        <v>914</v>
      </c>
      <c r="CZ250" s="49">
        <v>0</v>
      </c>
      <c r="DA250" s="49">
        <v>1</v>
      </c>
      <c r="DB250" s="57">
        <v>553695</v>
      </c>
      <c r="DC250" s="58">
        <v>52.14</v>
      </c>
      <c r="DD250" s="58">
        <v>8</v>
      </c>
      <c r="DE250" s="58">
        <v>9.49</v>
      </c>
      <c r="DF250" s="58">
        <v>26.69</v>
      </c>
      <c r="DG250" s="58">
        <v>3.6800000000000055</v>
      </c>
      <c r="DH250" s="58">
        <v>47.86</v>
      </c>
      <c r="DI250" s="45" t="s">
        <v>29</v>
      </c>
      <c r="DJ250" s="59" t="str">
        <f t="shared" si="115"/>
        <v>N/A</v>
      </c>
      <c r="DK250" s="60">
        <v>553695</v>
      </c>
      <c r="DL250" s="58">
        <v>52.14</v>
      </c>
      <c r="DM250" s="58">
        <v>8</v>
      </c>
      <c r="DN250" s="58">
        <v>9.49</v>
      </c>
      <c r="DO250" s="58">
        <v>47.86</v>
      </c>
      <c r="DP250" s="82">
        <v>49.2</v>
      </c>
      <c r="DQ250" s="67">
        <v>75916.37</v>
      </c>
      <c r="DR250" s="58">
        <v>11.3</v>
      </c>
      <c r="DS250" s="58">
        <v>75.3</v>
      </c>
      <c r="DT250" s="53">
        <v>35</v>
      </c>
      <c r="DU250" s="55">
        <v>2.2999999999999998</v>
      </c>
      <c r="DV250" s="50">
        <v>36.5</v>
      </c>
      <c r="DW250" s="58">
        <v>81.2</v>
      </c>
      <c r="DX250" s="53">
        <v>79.629300000000001</v>
      </c>
      <c r="DY250" s="53">
        <v>35.761299999999999</v>
      </c>
      <c r="DZ250" s="63"/>
    </row>
    <row r="251" spans="1:130" s="5" customFormat="1" ht="14.25" customHeight="1">
      <c r="A251" s="45">
        <v>1247</v>
      </c>
      <c r="B251" s="46" t="s">
        <v>210</v>
      </c>
      <c r="C251" s="46">
        <v>2003</v>
      </c>
      <c r="D251" s="46" t="s">
        <v>244</v>
      </c>
      <c r="E251" s="46" t="s">
        <v>22</v>
      </c>
      <c r="F251" s="46">
        <v>4</v>
      </c>
      <c r="G251" s="48">
        <v>180000</v>
      </c>
      <c r="H251" s="46" t="s">
        <v>249</v>
      </c>
      <c r="I251" s="46">
        <v>1</v>
      </c>
      <c r="J251" s="46">
        <v>2</v>
      </c>
      <c r="K251" s="49" t="s">
        <v>253</v>
      </c>
      <c r="L251" s="49" t="s">
        <v>30</v>
      </c>
      <c r="M251" s="49" t="s">
        <v>29</v>
      </c>
      <c r="N251" s="49" t="s">
        <v>513</v>
      </c>
      <c r="O251" s="49"/>
      <c r="P251" s="49" t="s">
        <v>174</v>
      </c>
      <c r="Q251" s="49" t="s">
        <v>29</v>
      </c>
      <c r="R251" s="49">
        <v>0</v>
      </c>
      <c r="S251" s="50">
        <f t="shared" si="124"/>
        <v>0</v>
      </c>
      <c r="T251" s="49" t="str">
        <f>LEFT(V251,2)</f>
        <v>0</v>
      </c>
      <c r="U251" s="50">
        <f t="shared" si="125"/>
        <v>0</v>
      </c>
      <c r="V251" s="49">
        <v>0</v>
      </c>
      <c r="W251" s="49">
        <v>0</v>
      </c>
      <c r="X251" s="50">
        <f t="shared" si="126"/>
        <v>0</v>
      </c>
      <c r="Y251" s="51" t="str">
        <f t="shared" si="127"/>
        <v>No</v>
      </c>
      <c r="Z251" s="49" t="s">
        <v>29</v>
      </c>
      <c r="AA251" s="49" t="s">
        <v>29</v>
      </c>
      <c r="AB251" s="49" t="s">
        <v>29</v>
      </c>
      <c r="AC251" s="46" t="s">
        <v>26</v>
      </c>
      <c r="AD251" s="46" t="s">
        <v>27</v>
      </c>
      <c r="AE251" s="46" t="s">
        <v>89</v>
      </c>
      <c r="AF251" s="46" t="s">
        <v>29</v>
      </c>
      <c r="AG251" s="103"/>
      <c r="AH251" s="52">
        <v>177527</v>
      </c>
      <c r="AI251" s="52">
        <v>177527</v>
      </c>
      <c r="AJ251" s="102">
        <v>82.01</v>
      </c>
      <c r="AK251" s="104">
        <v>164.02</v>
      </c>
      <c r="AL251" s="102">
        <v>82.01</v>
      </c>
      <c r="AM251" s="102"/>
      <c r="AN251" s="53">
        <f t="shared" si="128"/>
        <v>164.02</v>
      </c>
      <c r="AO251" s="53">
        <v>17.71</v>
      </c>
      <c r="AP251" s="102"/>
      <c r="AQ251" s="102"/>
      <c r="AR251" s="50"/>
      <c r="AS251" s="50"/>
      <c r="AT251" s="102"/>
      <c r="AU251" s="102"/>
      <c r="AV251" s="50"/>
      <c r="AW251" s="50"/>
      <c r="AX251" s="50"/>
      <c r="AY251" s="50"/>
      <c r="AZ251" s="102"/>
      <c r="BA251" s="102"/>
      <c r="BB251" s="102"/>
      <c r="BC251" s="102"/>
      <c r="BD251" s="50"/>
      <c r="BE251" s="50"/>
      <c r="BF251" s="50"/>
      <c r="BG251" s="50"/>
      <c r="BH251" s="102"/>
      <c r="BI251" s="102"/>
      <c r="BJ251" s="50"/>
      <c r="BK251" s="50"/>
      <c r="BL251" s="50"/>
      <c r="BM251" s="50"/>
      <c r="BN251" s="102"/>
      <c r="BO251" s="50"/>
      <c r="BP251" s="50"/>
      <c r="BQ251" s="50"/>
      <c r="BR251" s="102"/>
      <c r="BS251" s="54" t="s">
        <v>29</v>
      </c>
      <c r="BT251" s="45" t="str">
        <f t="shared" si="117"/>
        <v>No</v>
      </c>
      <c r="BU251" s="45" t="str">
        <f t="shared" si="118"/>
        <v>No</v>
      </c>
      <c r="BV251" s="45" t="str">
        <f t="shared" si="119"/>
        <v>No</v>
      </c>
      <c r="BW251" s="55">
        <f t="shared" si="130"/>
        <v>84.519846095572262</v>
      </c>
      <c r="BX251" s="55">
        <f t="shared" si="130"/>
        <v>84.519846095572262</v>
      </c>
      <c r="BY251" s="55">
        <v>85.749846095572252</v>
      </c>
      <c r="BZ251" s="55">
        <f t="shared" si="131"/>
        <v>85.749846095572266</v>
      </c>
      <c r="CA251" s="45">
        <v>2004</v>
      </c>
      <c r="CB251" s="55">
        <f t="shared" si="120"/>
        <v>32.062236429803406</v>
      </c>
      <c r="CC251" s="71" t="s">
        <v>266</v>
      </c>
      <c r="CD251" s="46" t="s">
        <v>267</v>
      </c>
      <c r="CE251" s="71" t="s">
        <v>783</v>
      </c>
      <c r="CF251" s="71">
        <v>2</v>
      </c>
      <c r="CG251" s="46" t="str">
        <f t="shared" si="129"/>
        <v>No</v>
      </c>
      <c r="CH251" s="46" t="s">
        <v>29</v>
      </c>
      <c r="CI251" s="56">
        <v>3600</v>
      </c>
      <c r="CJ251" s="46" t="s">
        <v>180</v>
      </c>
      <c r="CK251" s="79">
        <f>CI251*2</f>
        <v>7200</v>
      </c>
      <c r="CL251" s="49" t="s">
        <v>29</v>
      </c>
      <c r="CM251" s="50">
        <v>0</v>
      </c>
      <c r="CN251" s="50"/>
      <c r="CO251" s="50"/>
      <c r="CP251" s="46" t="s">
        <v>23</v>
      </c>
      <c r="CQ251" s="46" t="s">
        <v>23</v>
      </c>
      <c r="CR251" s="46">
        <v>11</v>
      </c>
      <c r="CS251" s="46" t="s">
        <v>855</v>
      </c>
      <c r="CT251" s="46" t="s">
        <v>25</v>
      </c>
      <c r="CU251" s="46" t="s">
        <v>213</v>
      </c>
      <c r="CV251" s="46">
        <v>1</v>
      </c>
      <c r="CW251" s="46" t="s">
        <v>23</v>
      </c>
      <c r="CX251" s="49" t="s">
        <v>922</v>
      </c>
      <c r="CY251" s="49" t="s">
        <v>914</v>
      </c>
      <c r="CZ251" s="49">
        <v>0</v>
      </c>
      <c r="DA251" s="49">
        <v>1</v>
      </c>
      <c r="DB251" s="57">
        <v>553695</v>
      </c>
      <c r="DC251" s="58">
        <v>52.14</v>
      </c>
      <c r="DD251" s="58">
        <v>8</v>
      </c>
      <c r="DE251" s="58">
        <v>9.49</v>
      </c>
      <c r="DF251" s="58">
        <v>26.69</v>
      </c>
      <c r="DG251" s="58">
        <v>3.6800000000000055</v>
      </c>
      <c r="DH251" s="58">
        <v>47.86</v>
      </c>
      <c r="DI251" s="45" t="s">
        <v>29</v>
      </c>
      <c r="DJ251" s="59" t="str">
        <f t="shared" si="115"/>
        <v>N/A</v>
      </c>
      <c r="DK251" s="60">
        <v>553695</v>
      </c>
      <c r="DL251" s="58">
        <v>52.14</v>
      </c>
      <c r="DM251" s="58">
        <v>8</v>
      </c>
      <c r="DN251" s="58">
        <v>9.49</v>
      </c>
      <c r="DO251" s="58">
        <v>47.86</v>
      </c>
      <c r="DP251" s="82">
        <v>49.2</v>
      </c>
      <c r="DQ251" s="67">
        <v>75916.37</v>
      </c>
      <c r="DR251" s="58">
        <v>11.3</v>
      </c>
      <c r="DS251" s="58">
        <v>75.3</v>
      </c>
      <c r="DT251" s="53">
        <v>35</v>
      </c>
      <c r="DU251" s="55">
        <v>2.2999999999999998</v>
      </c>
      <c r="DV251" s="50">
        <v>36.5</v>
      </c>
      <c r="DW251" s="58">
        <v>81.2</v>
      </c>
      <c r="DX251" s="53">
        <v>79.629300000000001</v>
      </c>
      <c r="DY251" s="53">
        <v>35.761299999999999</v>
      </c>
      <c r="DZ251" s="63"/>
    </row>
    <row r="252" spans="1:130" s="5" customFormat="1" ht="14.25" customHeight="1">
      <c r="A252" s="45">
        <v>1238</v>
      </c>
      <c r="B252" s="46" t="s">
        <v>210</v>
      </c>
      <c r="C252" s="46">
        <v>2004</v>
      </c>
      <c r="D252" s="46" t="s">
        <v>219</v>
      </c>
      <c r="E252" s="46" t="s">
        <v>77</v>
      </c>
      <c r="F252" s="46">
        <v>4</v>
      </c>
      <c r="G252" s="48">
        <v>108000</v>
      </c>
      <c r="H252" s="46" t="s">
        <v>249</v>
      </c>
      <c r="I252" s="46">
        <v>1</v>
      </c>
      <c r="J252" s="46">
        <v>7</v>
      </c>
      <c r="K252" s="49" t="s">
        <v>260</v>
      </c>
      <c r="L252" s="49" t="s">
        <v>30</v>
      </c>
      <c r="M252" s="49" t="s">
        <v>29</v>
      </c>
      <c r="N252" s="49" t="s">
        <v>513</v>
      </c>
      <c r="O252" s="49"/>
      <c r="P252" s="49" t="s">
        <v>174</v>
      </c>
      <c r="Q252" s="49" t="s">
        <v>29</v>
      </c>
      <c r="R252" s="49">
        <v>3</v>
      </c>
      <c r="S252" s="50">
        <f t="shared" si="124"/>
        <v>42.857142857142854</v>
      </c>
      <c r="T252" s="49" t="str">
        <f>LEFT(V252,2)</f>
        <v xml:space="preserve">2 </v>
      </c>
      <c r="U252" s="50">
        <f t="shared" si="125"/>
        <v>28.571428571428569</v>
      </c>
      <c r="V252" s="49" t="s">
        <v>172</v>
      </c>
      <c r="W252" s="49">
        <v>2</v>
      </c>
      <c r="X252" s="50">
        <f t="shared" si="126"/>
        <v>28.571428571428569</v>
      </c>
      <c r="Y252" s="51" t="str">
        <f t="shared" si="127"/>
        <v>No</v>
      </c>
      <c r="Z252" s="49" t="s">
        <v>29</v>
      </c>
      <c r="AA252" s="49" t="s">
        <v>29</v>
      </c>
      <c r="AB252" s="49" t="s">
        <v>29</v>
      </c>
      <c r="AC252" s="46" t="s">
        <v>87</v>
      </c>
      <c r="AD252" s="46" t="s">
        <v>27</v>
      </c>
      <c r="AE252" s="46" t="s">
        <v>89</v>
      </c>
      <c r="AF252" s="46" t="s">
        <v>29</v>
      </c>
      <c r="AG252" s="103">
        <v>30721</v>
      </c>
      <c r="AH252" s="52">
        <v>28697</v>
      </c>
      <c r="AI252" s="52">
        <v>28697</v>
      </c>
      <c r="AJ252" s="102">
        <v>41.09</v>
      </c>
      <c r="AK252" s="104">
        <v>82.18</v>
      </c>
      <c r="AL252" s="102">
        <v>54.01</v>
      </c>
      <c r="AM252" s="102"/>
      <c r="AN252" s="53">
        <f t="shared" si="128"/>
        <v>108.02</v>
      </c>
      <c r="AO252" s="53">
        <v>31.22</v>
      </c>
      <c r="AP252" s="102">
        <v>1778</v>
      </c>
      <c r="AQ252" s="102">
        <v>5.8</v>
      </c>
      <c r="AR252" s="50">
        <v>242</v>
      </c>
      <c r="AS252" s="50">
        <v>0.8</v>
      </c>
      <c r="AT252" s="102"/>
      <c r="AU252" s="102"/>
      <c r="AV252" s="102">
        <v>19</v>
      </c>
      <c r="AW252" s="102">
        <v>0.1</v>
      </c>
      <c r="AX252" s="50"/>
      <c r="AY252" s="50"/>
      <c r="AZ252" s="102"/>
      <c r="BA252" s="102"/>
      <c r="BB252" s="102"/>
      <c r="BC252" s="102"/>
      <c r="BD252" s="50">
        <v>323</v>
      </c>
      <c r="BE252" s="50">
        <v>1.1000000000000001</v>
      </c>
      <c r="BF252" s="50">
        <v>555</v>
      </c>
      <c r="BG252" s="50">
        <v>1.9</v>
      </c>
      <c r="BH252" s="102">
        <v>499</v>
      </c>
      <c r="BI252" s="102">
        <v>1.73</v>
      </c>
      <c r="BJ252" s="102">
        <v>1457</v>
      </c>
      <c r="BK252" s="102">
        <v>5.0999999999999996</v>
      </c>
      <c r="BL252" s="102">
        <v>1371</v>
      </c>
      <c r="BM252" s="102">
        <v>4.8</v>
      </c>
      <c r="BN252" s="102"/>
      <c r="BO252" s="50"/>
      <c r="BP252" s="50"/>
      <c r="BQ252" s="50"/>
      <c r="BR252" s="102" t="s">
        <v>967</v>
      </c>
      <c r="BS252" s="54" t="s">
        <v>29</v>
      </c>
      <c r="BT252" s="45" t="str">
        <f t="shared" si="117"/>
        <v>Yes</v>
      </c>
      <c r="BU252" s="45" t="str">
        <f t="shared" si="118"/>
        <v>Yes</v>
      </c>
      <c r="BV252" s="45" t="str">
        <f t="shared" si="119"/>
        <v>No</v>
      </c>
      <c r="BW252" s="55">
        <f t="shared" ref="BW252:BW268" si="132">(296772/(296772+54355))*100</f>
        <v>84.519846095572262</v>
      </c>
      <c r="BX252" s="55">
        <v>81.115427668400613</v>
      </c>
      <c r="BY252" s="55">
        <v>85.749846095572252</v>
      </c>
      <c r="BZ252" s="55">
        <f t="shared" si="131"/>
        <v>82.345427668400617</v>
      </c>
      <c r="CA252" s="45">
        <v>2004</v>
      </c>
      <c r="CB252" s="55">
        <f t="shared" si="120"/>
        <v>55.766726908801175</v>
      </c>
      <c r="CC252" s="46" t="s">
        <v>490</v>
      </c>
      <c r="CD252" s="46" t="s">
        <v>71</v>
      </c>
      <c r="CE252" s="71" t="s">
        <v>783</v>
      </c>
      <c r="CF252" s="46">
        <v>1</v>
      </c>
      <c r="CG252" s="46" t="str">
        <f t="shared" si="129"/>
        <v>No</v>
      </c>
      <c r="CH252" s="46" t="s">
        <v>35</v>
      </c>
      <c r="CI252" s="56">
        <v>500</v>
      </c>
      <c r="CJ252" s="46" t="s">
        <v>180</v>
      </c>
      <c r="CK252" s="79">
        <v>1000</v>
      </c>
      <c r="CL252" s="49" t="s">
        <v>35</v>
      </c>
      <c r="CM252" s="50">
        <f>(3/7)*100</f>
        <v>42.857142857142854</v>
      </c>
      <c r="CN252" s="50"/>
      <c r="CO252" s="50"/>
      <c r="CP252" s="46" t="s">
        <v>23</v>
      </c>
      <c r="CQ252" s="46" t="s">
        <v>24</v>
      </c>
      <c r="CR252" s="46">
        <v>11</v>
      </c>
      <c r="CS252" s="46" t="s">
        <v>855</v>
      </c>
      <c r="CT252" s="46" t="s">
        <v>856</v>
      </c>
      <c r="CU252" s="46" t="s">
        <v>213</v>
      </c>
      <c r="CV252" s="46">
        <v>0</v>
      </c>
      <c r="CW252" s="46">
        <v>1</v>
      </c>
      <c r="CX252" s="49" t="s">
        <v>922</v>
      </c>
      <c r="CY252" s="49" t="s">
        <v>915</v>
      </c>
      <c r="CZ252" s="49">
        <v>0</v>
      </c>
      <c r="DA252" s="49">
        <v>1</v>
      </c>
      <c r="DB252" s="57">
        <v>51459</v>
      </c>
      <c r="DC252" s="58">
        <v>50.32</v>
      </c>
      <c r="DD252" s="58">
        <v>2.1800000000000002</v>
      </c>
      <c r="DE252" s="58">
        <v>4.1399999999999997</v>
      </c>
      <c r="DF252" s="58">
        <v>40.1</v>
      </c>
      <c r="DG252" s="58">
        <v>4.6716803668940319</v>
      </c>
      <c r="DH252" s="58">
        <v>49.68</v>
      </c>
      <c r="DI252" s="45" t="s">
        <v>29</v>
      </c>
      <c r="DJ252" s="59" t="str">
        <f t="shared" ref="DJ252:DJ283" si="133">IF(DH252&lt;50,"N/A",IF(DD252&gt;50,"African American",IF(DE252&gt;50,"Latino",IF(DF252&gt;50,"Asian","No single majority group"))))</f>
        <v>N/A</v>
      </c>
      <c r="DK252" s="60">
        <v>51459</v>
      </c>
      <c r="DL252" s="58">
        <v>50.32</v>
      </c>
      <c r="DM252" s="58">
        <v>2.1800000000000002</v>
      </c>
      <c r="DN252" s="58">
        <v>4.1399999999999997</v>
      </c>
      <c r="DO252" s="58">
        <v>49.68</v>
      </c>
      <c r="DP252" s="82">
        <v>49.2</v>
      </c>
      <c r="DQ252" s="67">
        <v>75916.37</v>
      </c>
      <c r="DR252" s="58">
        <v>11.3</v>
      </c>
      <c r="DS252" s="58">
        <v>75.3</v>
      </c>
      <c r="DT252" s="53">
        <v>35</v>
      </c>
      <c r="DU252" s="55">
        <v>2.2999999999999998</v>
      </c>
      <c r="DV252" s="50">
        <v>36.5</v>
      </c>
      <c r="DW252" s="58">
        <v>81.2</v>
      </c>
      <c r="DX252" s="53">
        <v>79.629300000000001</v>
      </c>
      <c r="DY252" s="53">
        <v>35.761299999999999</v>
      </c>
      <c r="DZ252" s="63"/>
    </row>
    <row r="253" spans="1:130" s="5" customFormat="1" ht="14.25" customHeight="1">
      <c r="A253" s="45">
        <v>1239</v>
      </c>
      <c r="B253" s="46" t="s">
        <v>210</v>
      </c>
      <c r="C253" s="46">
        <v>2004</v>
      </c>
      <c r="D253" s="46" t="s">
        <v>219</v>
      </c>
      <c r="E253" s="46" t="s">
        <v>92</v>
      </c>
      <c r="F253" s="46">
        <v>2</v>
      </c>
      <c r="G253" s="48">
        <v>108000</v>
      </c>
      <c r="H253" s="46" t="s">
        <v>249</v>
      </c>
      <c r="I253" s="46">
        <v>1</v>
      </c>
      <c r="J253" s="46">
        <v>5</v>
      </c>
      <c r="K253" s="49" t="s">
        <v>254</v>
      </c>
      <c r="L253" s="49" t="s">
        <v>40</v>
      </c>
      <c r="M253" s="49" t="s">
        <v>35</v>
      </c>
      <c r="N253" s="49" t="s">
        <v>513</v>
      </c>
      <c r="O253" s="49"/>
      <c r="P253" s="49" t="s">
        <v>174</v>
      </c>
      <c r="Q253" s="49" t="s">
        <v>29</v>
      </c>
      <c r="R253" s="49">
        <v>1</v>
      </c>
      <c r="S253" s="50">
        <f t="shared" si="124"/>
        <v>20</v>
      </c>
      <c r="T253" s="49" t="str">
        <f>LEFT(V253,2)</f>
        <v xml:space="preserve">1 </v>
      </c>
      <c r="U253" s="50">
        <f t="shared" si="125"/>
        <v>20</v>
      </c>
      <c r="V253" s="49" t="s">
        <v>173</v>
      </c>
      <c r="W253" s="49">
        <v>0</v>
      </c>
      <c r="X253" s="50">
        <f t="shared" si="126"/>
        <v>0</v>
      </c>
      <c r="Y253" s="51" t="str">
        <f t="shared" si="127"/>
        <v>No</v>
      </c>
      <c r="Z253" s="49" t="s">
        <v>29</v>
      </c>
      <c r="AA253" s="49" t="s">
        <v>29</v>
      </c>
      <c r="AB253" s="45" t="s">
        <v>35</v>
      </c>
      <c r="AC253" s="46" t="s">
        <v>72</v>
      </c>
      <c r="AD253" s="46" t="s">
        <v>27</v>
      </c>
      <c r="AE253" s="46" t="s">
        <v>89</v>
      </c>
      <c r="AF253" s="46" t="s">
        <v>35</v>
      </c>
      <c r="AG253" s="103">
        <v>39462</v>
      </c>
      <c r="AH253" s="52">
        <v>34308</v>
      </c>
      <c r="AI253" s="52">
        <v>34308</v>
      </c>
      <c r="AJ253" s="102">
        <v>61.25</v>
      </c>
      <c r="AK253" s="104">
        <v>122.5</v>
      </c>
      <c r="AL253" s="102">
        <v>61.25</v>
      </c>
      <c r="AM253" s="102"/>
      <c r="AN253" s="53">
        <f t="shared" si="128"/>
        <v>122.5</v>
      </c>
      <c r="AO253" s="53">
        <v>16.8</v>
      </c>
      <c r="AP253" s="102">
        <v>4879</v>
      </c>
      <c r="AQ253" s="102">
        <v>12.4</v>
      </c>
      <c r="AR253" s="50">
        <v>202</v>
      </c>
      <c r="AS253" s="50">
        <v>0.6</v>
      </c>
      <c r="AT253" s="102"/>
      <c r="AU253" s="102"/>
      <c r="AV253" s="50"/>
      <c r="AW253" s="50"/>
      <c r="AX253" s="50"/>
      <c r="AY253" s="50"/>
      <c r="AZ253" s="102"/>
      <c r="BA253" s="102"/>
      <c r="BB253" s="102"/>
      <c r="BC253" s="102"/>
      <c r="BD253" s="50">
        <v>444</v>
      </c>
      <c r="BE253" s="50">
        <v>1.3</v>
      </c>
      <c r="BF253" s="50">
        <v>634</v>
      </c>
      <c r="BG253" s="50">
        <v>1.8</v>
      </c>
      <c r="BH253" s="102"/>
      <c r="BI253" s="102"/>
      <c r="BJ253" s="50"/>
      <c r="BK253" s="50"/>
      <c r="BL253" s="50"/>
      <c r="BM253" s="50"/>
      <c r="BN253" s="102"/>
      <c r="BO253" s="50"/>
      <c r="BP253" s="50"/>
      <c r="BQ253" s="50"/>
      <c r="BR253" s="102" t="s">
        <v>967</v>
      </c>
      <c r="BS253" s="54" t="s">
        <v>29</v>
      </c>
      <c r="BT253" s="45" t="str">
        <f t="shared" si="117"/>
        <v>No</v>
      </c>
      <c r="BU253" s="45" t="str">
        <f t="shared" si="118"/>
        <v>No</v>
      </c>
      <c r="BV253" s="45" t="str">
        <f t="shared" si="119"/>
        <v>No</v>
      </c>
      <c r="BW253" s="55">
        <f t="shared" si="132"/>
        <v>84.519846095572262</v>
      </c>
      <c r="BX253" s="55">
        <v>74.951125369692718</v>
      </c>
      <c r="BY253" s="55">
        <v>85.749846095572252</v>
      </c>
      <c r="BZ253" s="55">
        <f t="shared" si="131"/>
        <v>76.181125369692722</v>
      </c>
      <c r="CA253" s="45">
        <v>2004</v>
      </c>
      <c r="CB253" s="55">
        <f t="shared" si="120"/>
        <v>60.009445348166025</v>
      </c>
      <c r="CC253" s="46" t="s">
        <v>490</v>
      </c>
      <c r="CD253" s="46" t="s">
        <v>71</v>
      </c>
      <c r="CE253" s="71" t="s">
        <v>783</v>
      </c>
      <c r="CF253" s="46">
        <v>1</v>
      </c>
      <c r="CG253" s="46" t="str">
        <f t="shared" si="129"/>
        <v>No</v>
      </c>
      <c r="CH253" s="46" t="s">
        <v>35</v>
      </c>
      <c r="CI253" s="56">
        <v>500</v>
      </c>
      <c r="CJ253" s="46" t="s">
        <v>180</v>
      </c>
      <c r="CK253" s="79">
        <v>1000</v>
      </c>
      <c r="CL253" s="49" t="s">
        <v>35</v>
      </c>
      <c r="CM253" s="50">
        <f>(1/5)*100</f>
        <v>20</v>
      </c>
      <c r="CN253" s="50"/>
      <c r="CO253" s="50"/>
      <c r="CP253" s="46" t="s">
        <v>23</v>
      </c>
      <c r="CQ253" s="46" t="s">
        <v>24</v>
      </c>
      <c r="CR253" s="46">
        <v>11</v>
      </c>
      <c r="CS253" s="46" t="s">
        <v>855</v>
      </c>
      <c r="CT253" s="46" t="s">
        <v>856</v>
      </c>
      <c r="CU253" s="46" t="s">
        <v>213</v>
      </c>
      <c r="CV253" s="46">
        <v>0</v>
      </c>
      <c r="CW253" s="46">
        <v>1</v>
      </c>
      <c r="CX253" s="49" t="s">
        <v>922</v>
      </c>
      <c r="CY253" s="49" t="s">
        <v>915</v>
      </c>
      <c r="CZ253" s="49">
        <v>0</v>
      </c>
      <c r="DA253" s="49">
        <v>1</v>
      </c>
      <c r="DB253" s="57">
        <v>57171</v>
      </c>
      <c r="DC253" s="58">
        <v>75.83</v>
      </c>
      <c r="DD253" s="58">
        <v>3.29</v>
      </c>
      <c r="DE253" s="58">
        <v>4.67</v>
      </c>
      <c r="DF253" s="58">
        <v>13.309999999999999</v>
      </c>
      <c r="DG253" s="58">
        <v>3.8638470553252522</v>
      </c>
      <c r="DH253" s="58">
        <v>24.17</v>
      </c>
      <c r="DI253" s="45" t="s">
        <v>29</v>
      </c>
      <c r="DJ253" s="59" t="str">
        <f t="shared" si="133"/>
        <v>N/A</v>
      </c>
      <c r="DK253" s="60">
        <v>57171</v>
      </c>
      <c r="DL253" s="58">
        <v>75.83</v>
      </c>
      <c r="DM253" s="58">
        <v>3.29</v>
      </c>
      <c r="DN253" s="58">
        <v>4.67</v>
      </c>
      <c r="DO253" s="58">
        <v>24.17</v>
      </c>
      <c r="DP253" s="82">
        <v>49.2</v>
      </c>
      <c r="DQ253" s="67">
        <v>75916.37</v>
      </c>
      <c r="DR253" s="58">
        <v>11.3</v>
      </c>
      <c r="DS253" s="58">
        <v>75.3</v>
      </c>
      <c r="DT253" s="53">
        <v>35</v>
      </c>
      <c r="DU253" s="55">
        <v>2.2999999999999998</v>
      </c>
      <c r="DV253" s="50">
        <v>36.5</v>
      </c>
      <c r="DW253" s="58">
        <v>81.2</v>
      </c>
      <c r="DX253" s="53">
        <v>79.629300000000001</v>
      </c>
      <c r="DY253" s="53">
        <v>35.761299999999999</v>
      </c>
      <c r="DZ253" s="47" t="s">
        <v>937</v>
      </c>
    </row>
    <row r="254" spans="1:130" s="5" customFormat="1" ht="14.25" customHeight="1">
      <c r="A254" s="45">
        <v>1240</v>
      </c>
      <c r="B254" s="46" t="s">
        <v>210</v>
      </c>
      <c r="C254" s="46">
        <v>2004</v>
      </c>
      <c r="D254" s="46" t="s">
        <v>219</v>
      </c>
      <c r="E254" s="46" t="s">
        <v>95</v>
      </c>
      <c r="F254" s="46">
        <v>4</v>
      </c>
      <c r="G254" s="48">
        <v>108000</v>
      </c>
      <c r="H254" s="46" t="s">
        <v>249</v>
      </c>
      <c r="I254" s="46">
        <v>1</v>
      </c>
      <c r="J254" s="46">
        <v>4</v>
      </c>
      <c r="K254" s="49" t="s">
        <v>261</v>
      </c>
      <c r="L254" s="49" t="s">
        <v>30</v>
      </c>
      <c r="M254" s="49" t="s">
        <v>29</v>
      </c>
      <c r="N254" s="49" t="s">
        <v>513</v>
      </c>
      <c r="O254" s="49"/>
      <c r="P254" s="49" t="s">
        <v>174</v>
      </c>
      <c r="Q254" s="49" t="s">
        <v>29</v>
      </c>
      <c r="R254" s="49">
        <v>0</v>
      </c>
      <c r="S254" s="50">
        <f t="shared" si="124"/>
        <v>0</v>
      </c>
      <c r="T254" s="49" t="str">
        <f>LEFT(V254,2)</f>
        <v xml:space="preserve">1 </v>
      </c>
      <c r="U254" s="50">
        <f t="shared" si="125"/>
        <v>25</v>
      </c>
      <c r="V254" s="49" t="s">
        <v>173</v>
      </c>
      <c r="W254" s="49">
        <v>0</v>
      </c>
      <c r="X254" s="50">
        <f t="shared" si="126"/>
        <v>0</v>
      </c>
      <c r="Y254" s="51" t="str">
        <f t="shared" si="127"/>
        <v>No</v>
      </c>
      <c r="Z254" s="49" t="s">
        <v>29</v>
      </c>
      <c r="AA254" s="49" t="s">
        <v>29</v>
      </c>
      <c r="AB254" s="49" t="s">
        <v>29</v>
      </c>
      <c r="AC254" s="46" t="s">
        <v>72</v>
      </c>
      <c r="AD254" s="46" t="s">
        <v>27</v>
      </c>
      <c r="AE254" s="46" t="s">
        <v>89</v>
      </c>
      <c r="AF254" s="46" t="s">
        <v>29</v>
      </c>
      <c r="AG254" s="103">
        <v>28317</v>
      </c>
      <c r="AH254" s="52">
        <v>25771</v>
      </c>
      <c r="AI254" s="52">
        <v>25771</v>
      </c>
      <c r="AJ254" s="102">
        <v>62.55</v>
      </c>
      <c r="AK254" s="104">
        <v>125.1</v>
      </c>
      <c r="AL254" s="102">
        <v>62.55</v>
      </c>
      <c r="AM254" s="102"/>
      <c r="AN254" s="53">
        <f t="shared" si="128"/>
        <v>125.1</v>
      </c>
      <c r="AO254" s="53">
        <v>17.78</v>
      </c>
      <c r="AP254" s="102">
        <v>2338</v>
      </c>
      <c r="AQ254" s="102">
        <v>8.3000000000000007</v>
      </c>
      <c r="AR254" s="102">
        <v>143</v>
      </c>
      <c r="AS254" s="102">
        <v>0.6</v>
      </c>
      <c r="AT254" s="102"/>
      <c r="AU254" s="102"/>
      <c r="AV254" s="102"/>
      <c r="AW254" s="102"/>
      <c r="AX254" s="102"/>
      <c r="AY254" s="102"/>
      <c r="AZ254" s="102"/>
      <c r="BA254" s="102"/>
      <c r="BB254" s="102"/>
      <c r="BC254" s="102"/>
      <c r="BD254" s="102">
        <v>359</v>
      </c>
      <c r="BE254" s="102">
        <v>1.4</v>
      </c>
      <c r="BF254" s="102">
        <v>495</v>
      </c>
      <c r="BG254" s="102">
        <v>1.9</v>
      </c>
      <c r="BH254" s="102"/>
      <c r="BI254" s="102"/>
      <c r="BJ254" s="102"/>
      <c r="BK254" s="102"/>
      <c r="BL254" s="102"/>
      <c r="BM254" s="102"/>
      <c r="BN254" s="102"/>
      <c r="BO254" s="102"/>
      <c r="BP254" s="102"/>
      <c r="BQ254" s="102"/>
      <c r="BR254" s="102" t="s">
        <v>967</v>
      </c>
      <c r="BS254" s="54" t="s">
        <v>29</v>
      </c>
      <c r="BT254" s="45" t="str">
        <f t="shared" si="117"/>
        <v>No</v>
      </c>
      <c r="BU254" s="45" t="str">
        <f t="shared" si="118"/>
        <v>No</v>
      </c>
      <c r="BV254" s="45" t="str">
        <f t="shared" si="119"/>
        <v>No</v>
      </c>
      <c r="BW254" s="55">
        <f t="shared" si="132"/>
        <v>84.519846095572262</v>
      </c>
      <c r="BX254" s="55">
        <v>83.008327184568358</v>
      </c>
      <c r="BY254" s="55">
        <v>85.749846095572252</v>
      </c>
      <c r="BZ254" s="55">
        <f t="shared" si="131"/>
        <v>84.238327184568362</v>
      </c>
      <c r="CA254" s="45">
        <v>2004</v>
      </c>
      <c r="CB254" s="55">
        <f t="shared" si="120"/>
        <v>51.429882855375283</v>
      </c>
      <c r="CC254" s="46" t="s">
        <v>490</v>
      </c>
      <c r="CD254" s="46" t="s">
        <v>71</v>
      </c>
      <c r="CE254" s="71" t="s">
        <v>783</v>
      </c>
      <c r="CF254" s="46">
        <v>1</v>
      </c>
      <c r="CG254" s="46" t="str">
        <f t="shared" si="129"/>
        <v>No</v>
      </c>
      <c r="CH254" s="46" t="s">
        <v>35</v>
      </c>
      <c r="CI254" s="56">
        <v>500</v>
      </c>
      <c r="CJ254" s="46" t="s">
        <v>180</v>
      </c>
      <c r="CK254" s="79">
        <v>1000</v>
      </c>
      <c r="CL254" s="49" t="s">
        <v>35</v>
      </c>
      <c r="CM254" s="50">
        <f>(2/4)*100</f>
        <v>50</v>
      </c>
      <c r="CN254" s="50"/>
      <c r="CO254" s="50"/>
      <c r="CP254" s="46" t="s">
        <v>23</v>
      </c>
      <c r="CQ254" s="46" t="s">
        <v>24</v>
      </c>
      <c r="CR254" s="46">
        <v>11</v>
      </c>
      <c r="CS254" s="46" t="s">
        <v>855</v>
      </c>
      <c r="CT254" s="46" t="s">
        <v>856</v>
      </c>
      <c r="CU254" s="46" t="s">
        <v>213</v>
      </c>
      <c r="CV254" s="46">
        <v>0</v>
      </c>
      <c r="CW254" s="46">
        <v>1</v>
      </c>
      <c r="CX254" s="49" t="s">
        <v>922</v>
      </c>
      <c r="CY254" s="49" t="s">
        <v>915</v>
      </c>
      <c r="CZ254" s="49">
        <v>0</v>
      </c>
      <c r="DA254" s="49">
        <v>1</v>
      </c>
      <c r="DB254" s="57">
        <v>50109</v>
      </c>
      <c r="DC254" s="58">
        <v>53.99</v>
      </c>
      <c r="DD254" s="58">
        <v>2.0500000000000003</v>
      </c>
      <c r="DE254" s="58">
        <v>3.94</v>
      </c>
      <c r="DF254" s="58">
        <v>37.369999999999997</v>
      </c>
      <c r="DG254" s="58">
        <v>3.8096948651938773</v>
      </c>
      <c r="DH254" s="58">
        <v>46.01</v>
      </c>
      <c r="DI254" s="45" t="s">
        <v>29</v>
      </c>
      <c r="DJ254" s="59" t="str">
        <f t="shared" si="133"/>
        <v>N/A</v>
      </c>
      <c r="DK254" s="60">
        <v>50109</v>
      </c>
      <c r="DL254" s="58">
        <v>53.99</v>
      </c>
      <c r="DM254" s="58">
        <v>2.0500000000000003</v>
      </c>
      <c r="DN254" s="58">
        <v>3.94</v>
      </c>
      <c r="DO254" s="58">
        <v>46.01</v>
      </c>
      <c r="DP254" s="82">
        <v>49.2</v>
      </c>
      <c r="DQ254" s="67">
        <v>75916.37</v>
      </c>
      <c r="DR254" s="58">
        <v>11.3</v>
      </c>
      <c r="DS254" s="58">
        <v>75.3</v>
      </c>
      <c r="DT254" s="53">
        <v>35</v>
      </c>
      <c r="DU254" s="55">
        <v>2.2999999999999998</v>
      </c>
      <c r="DV254" s="50">
        <v>36.5</v>
      </c>
      <c r="DW254" s="58">
        <v>81.2</v>
      </c>
      <c r="DX254" s="53">
        <v>79.629300000000001</v>
      </c>
      <c r="DY254" s="53">
        <v>35.761299999999999</v>
      </c>
      <c r="DZ254" s="63"/>
    </row>
    <row r="255" spans="1:130" s="5" customFormat="1" ht="14.25" customHeight="1">
      <c r="A255" s="45">
        <v>1241</v>
      </c>
      <c r="B255" s="46" t="s">
        <v>210</v>
      </c>
      <c r="C255" s="46">
        <v>2004</v>
      </c>
      <c r="D255" s="46" t="s">
        <v>219</v>
      </c>
      <c r="E255" s="46" t="s">
        <v>98</v>
      </c>
      <c r="F255" s="46">
        <v>4</v>
      </c>
      <c r="G255" s="48">
        <v>108000</v>
      </c>
      <c r="H255" s="46" t="s">
        <v>249</v>
      </c>
      <c r="I255" s="46">
        <v>1</v>
      </c>
      <c r="J255" s="46">
        <v>22</v>
      </c>
      <c r="K255" s="49" t="s">
        <v>245</v>
      </c>
      <c r="L255" s="49" t="s">
        <v>30</v>
      </c>
      <c r="M255" s="49" t="s">
        <v>29</v>
      </c>
      <c r="N255" s="49" t="s">
        <v>512</v>
      </c>
      <c r="O255" s="49"/>
      <c r="P255" s="49" t="s">
        <v>912</v>
      </c>
      <c r="Q255" s="49" t="s">
        <v>35</v>
      </c>
      <c r="R255" s="49">
        <v>3</v>
      </c>
      <c r="S255" s="50">
        <f t="shared" si="124"/>
        <v>13.636363636363635</v>
      </c>
      <c r="T255" s="49">
        <v>5</v>
      </c>
      <c r="U255" s="50">
        <f t="shared" si="125"/>
        <v>22.727272727272727</v>
      </c>
      <c r="V255" s="81" t="s">
        <v>885</v>
      </c>
      <c r="W255" s="81">
        <v>2</v>
      </c>
      <c r="X255" s="50">
        <f t="shared" si="126"/>
        <v>9.0909090909090917</v>
      </c>
      <c r="Y255" s="51" t="str">
        <f t="shared" si="127"/>
        <v>No</v>
      </c>
      <c r="Z255" s="49" t="s">
        <v>35</v>
      </c>
      <c r="AA255" s="49" t="s">
        <v>23</v>
      </c>
      <c r="AB255" s="49" t="s">
        <v>23</v>
      </c>
      <c r="AC255" s="46" t="s">
        <v>262</v>
      </c>
      <c r="AD255" s="46" t="s">
        <v>27</v>
      </c>
      <c r="AE255" s="46" t="s">
        <v>89</v>
      </c>
      <c r="AF255" s="46" t="s">
        <v>29</v>
      </c>
      <c r="AG255" s="103">
        <v>39255</v>
      </c>
      <c r="AH255" s="52">
        <v>34955</v>
      </c>
      <c r="AI255" s="52">
        <v>34955</v>
      </c>
      <c r="AJ255" s="102">
        <v>28.4</v>
      </c>
      <c r="AK255" s="104">
        <v>56.8</v>
      </c>
      <c r="AL255" s="102">
        <v>50.6</v>
      </c>
      <c r="AM255" s="102"/>
      <c r="AN255" s="53">
        <f t="shared" si="128"/>
        <v>101.2</v>
      </c>
      <c r="AO255" s="53">
        <v>14.58</v>
      </c>
      <c r="AP255" s="102">
        <v>3752</v>
      </c>
      <c r="AQ255" s="102">
        <v>9.6</v>
      </c>
      <c r="AR255" s="102">
        <v>560</v>
      </c>
      <c r="AS255" s="102">
        <v>1.6</v>
      </c>
      <c r="AT255" s="102"/>
      <c r="AU255" s="102"/>
      <c r="AV255" s="102">
        <v>94</v>
      </c>
      <c r="AW255" s="102">
        <v>0.3</v>
      </c>
      <c r="AX255" s="102"/>
      <c r="AY255" s="102"/>
      <c r="AZ255" s="102"/>
      <c r="BA255" s="102"/>
      <c r="BB255" s="102"/>
      <c r="BC255" s="102"/>
      <c r="BD255" s="102">
        <v>364</v>
      </c>
      <c r="BE255" s="102">
        <v>1</v>
      </c>
      <c r="BF255" s="102">
        <v>883</v>
      </c>
      <c r="BG255" s="102">
        <v>2.5</v>
      </c>
      <c r="BH255" s="102">
        <v>8998</v>
      </c>
      <c r="BI255" s="102">
        <v>25.63</v>
      </c>
      <c r="BJ255" s="102">
        <v>8773</v>
      </c>
      <c r="BK255" s="102">
        <v>25</v>
      </c>
      <c r="BL255" s="102">
        <v>3616</v>
      </c>
      <c r="BM255" s="102">
        <v>10.3</v>
      </c>
      <c r="BN255" s="102"/>
      <c r="BO255" s="102"/>
      <c r="BP255" s="102"/>
      <c r="BQ255" s="102"/>
      <c r="BR255" s="102" t="s">
        <v>967</v>
      </c>
      <c r="BS255" s="54" t="s">
        <v>29</v>
      </c>
      <c r="BT255" s="45" t="str">
        <f t="shared" si="117"/>
        <v>Yes</v>
      </c>
      <c r="BU255" s="45" t="str">
        <f t="shared" si="118"/>
        <v>No</v>
      </c>
      <c r="BV255" s="45" t="str">
        <f t="shared" si="119"/>
        <v>No</v>
      </c>
      <c r="BW255" s="55">
        <f t="shared" si="132"/>
        <v>84.519846095572262</v>
      </c>
      <c r="BX255" s="55">
        <v>91.327658493202904</v>
      </c>
      <c r="BY255" s="55">
        <v>85.749846095572252</v>
      </c>
      <c r="BZ255" s="55">
        <f t="shared" si="131"/>
        <v>92.557658493202908</v>
      </c>
      <c r="CA255" s="45">
        <v>2004</v>
      </c>
      <c r="CB255" s="55">
        <f t="shared" si="120"/>
        <v>60.422464607353376</v>
      </c>
      <c r="CC255" s="46" t="s">
        <v>490</v>
      </c>
      <c r="CD255" s="46" t="s">
        <v>71</v>
      </c>
      <c r="CE255" s="71" t="s">
        <v>783</v>
      </c>
      <c r="CF255" s="46">
        <v>1</v>
      </c>
      <c r="CG255" s="46" t="str">
        <f t="shared" si="129"/>
        <v>No</v>
      </c>
      <c r="CH255" s="46" t="s">
        <v>35</v>
      </c>
      <c r="CI255" s="56">
        <v>500</v>
      </c>
      <c r="CJ255" s="46" t="s">
        <v>180</v>
      </c>
      <c r="CK255" s="79">
        <v>1000</v>
      </c>
      <c r="CL255" s="49" t="s">
        <v>35</v>
      </c>
      <c r="CM255" s="50">
        <f>(10/22)*100</f>
        <v>45.454545454545453</v>
      </c>
      <c r="CN255" s="50"/>
      <c r="CO255" s="50"/>
      <c r="CP255" s="46" t="s">
        <v>23</v>
      </c>
      <c r="CQ255" s="46" t="s">
        <v>24</v>
      </c>
      <c r="CR255" s="46">
        <v>11</v>
      </c>
      <c r="CS255" s="46" t="s">
        <v>855</v>
      </c>
      <c r="CT255" s="46" t="s">
        <v>856</v>
      </c>
      <c r="CU255" s="46" t="s">
        <v>213</v>
      </c>
      <c r="CV255" s="46">
        <v>0</v>
      </c>
      <c r="CW255" s="46">
        <v>1</v>
      </c>
      <c r="CX255" s="49" t="s">
        <v>922</v>
      </c>
      <c r="CY255" s="49" t="s">
        <v>915</v>
      </c>
      <c r="CZ255" s="49">
        <v>0</v>
      </c>
      <c r="DA255" s="49">
        <v>1</v>
      </c>
      <c r="DB255" s="57">
        <v>57851</v>
      </c>
      <c r="DC255" s="58">
        <v>63.22</v>
      </c>
      <c r="DD255" s="58">
        <v>13.81</v>
      </c>
      <c r="DE255" s="58">
        <v>5.6000000000000005</v>
      </c>
      <c r="DF255" s="58">
        <v>13.18</v>
      </c>
      <c r="DG255" s="58">
        <v>6.0482964857997272</v>
      </c>
      <c r="DH255" s="58">
        <v>36.78</v>
      </c>
      <c r="DI255" s="45" t="s">
        <v>29</v>
      </c>
      <c r="DJ255" s="59" t="str">
        <f t="shared" si="133"/>
        <v>N/A</v>
      </c>
      <c r="DK255" s="60">
        <v>57851</v>
      </c>
      <c r="DL255" s="58">
        <v>63.22</v>
      </c>
      <c r="DM255" s="58">
        <v>13.81</v>
      </c>
      <c r="DN255" s="58">
        <v>5.6000000000000005</v>
      </c>
      <c r="DO255" s="58">
        <v>36.78</v>
      </c>
      <c r="DP255" s="82">
        <v>49.2</v>
      </c>
      <c r="DQ255" s="67">
        <v>75916.37</v>
      </c>
      <c r="DR255" s="58">
        <v>11.3</v>
      </c>
      <c r="DS255" s="58">
        <v>75.3</v>
      </c>
      <c r="DT255" s="53">
        <v>35</v>
      </c>
      <c r="DU255" s="55">
        <v>2.2999999999999998</v>
      </c>
      <c r="DV255" s="50">
        <v>36.5</v>
      </c>
      <c r="DW255" s="58">
        <v>81.2</v>
      </c>
      <c r="DX255" s="53">
        <v>79.629300000000001</v>
      </c>
      <c r="DY255" s="53">
        <v>35.761299999999999</v>
      </c>
      <c r="DZ255" s="63"/>
    </row>
    <row r="256" spans="1:130" s="5" customFormat="1" ht="14.25" customHeight="1">
      <c r="A256" s="45">
        <v>1242</v>
      </c>
      <c r="B256" s="46" t="s">
        <v>210</v>
      </c>
      <c r="C256" s="46">
        <v>2004</v>
      </c>
      <c r="D256" s="46" t="s">
        <v>219</v>
      </c>
      <c r="E256" s="46" t="s">
        <v>83</v>
      </c>
      <c r="F256" s="46">
        <v>4</v>
      </c>
      <c r="G256" s="48">
        <v>108000</v>
      </c>
      <c r="H256" s="46" t="s">
        <v>249</v>
      </c>
      <c r="I256" s="46">
        <v>1</v>
      </c>
      <c r="J256" s="46">
        <v>13</v>
      </c>
      <c r="K256" s="49" t="s">
        <v>250</v>
      </c>
      <c r="L256" s="49" t="s">
        <v>30</v>
      </c>
      <c r="M256" s="49" t="s">
        <v>29</v>
      </c>
      <c r="N256" s="49" t="s">
        <v>512</v>
      </c>
      <c r="O256" s="49"/>
      <c r="P256" s="49" t="s">
        <v>174</v>
      </c>
      <c r="Q256" s="49" t="s">
        <v>29</v>
      </c>
      <c r="R256" s="49">
        <v>3</v>
      </c>
      <c r="S256" s="50">
        <f t="shared" si="124"/>
        <v>23.076923076923077</v>
      </c>
      <c r="T256" s="49">
        <v>5</v>
      </c>
      <c r="U256" s="50">
        <f t="shared" si="125"/>
        <v>38.461538461538467</v>
      </c>
      <c r="V256" s="81" t="s">
        <v>886</v>
      </c>
      <c r="W256" s="49">
        <v>1</v>
      </c>
      <c r="X256" s="50">
        <f t="shared" si="126"/>
        <v>7.6923076923076925</v>
      </c>
      <c r="Y256" s="51" t="str">
        <f t="shared" si="127"/>
        <v>No</v>
      </c>
      <c r="Z256" s="49" t="s">
        <v>35</v>
      </c>
      <c r="AA256" s="49" t="s">
        <v>23</v>
      </c>
      <c r="AB256" s="49" t="s">
        <v>23</v>
      </c>
      <c r="AC256" s="46" t="s">
        <v>263</v>
      </c>
      <c r="AD256" s="46" t="s">
        <v>27</v>
      </c>
      <c r="AE256" s="46" t="s">
        <v>89</v>
      </c>
      <c r="AF256" s="46" t="s">
        <v>29</v>
      </c>
      <c r="AG256" s="103">
        <v>34905</v>
      </c>
      <c r="AH256" s="52">
        <v>31523</v>
      </c>
      <c r="AI256" s="52">
        <v>31523</v>
      </c>
      <c r="AJ256" s="102">
        <v>33.229999999999997</v>
      </c>
      <c r="AK256" s="104">
        <v>66.459999999999994</v>
      </c>
      <c r="AL256" s="102">
        <v>56.87</v>
      </c>
      <c r="AM256" s="102"/>
      <c r="AN256" s="53">
        <f t="shared" si="128"/>
        <v>113.74</v>
      </c>
      <c r="AO256" s="53">
        <v>21.46</v>
      </c>
      <c r="AP256" s="102">
        <v>3030</v>
      </c>
      <c r="AQ256" s="102">
        <v>8.6999999999999993</v>
      </c>
      <c r="AR256" s="102">
        <v>348</v>
      </c>
      <c r="AS256" s="102">
        <v>1.1000000000000001</v>
      </c>
      <c r="AT256" s="102"/>
      <c r="AU256" s="102"/>
      <c r="AV256" s="102">
        <v>40</v>
      </c>
      <c r="AW256" s="102">
        <v>0.1</v>
      </c>
      <c r="AX256" s="102"/>
      <c r="AY256" s="102"/>
      <c r="AZ256" s="102"/>
      <c r="BA256" s="102"/>
      <c r="BB256" s="102"/>
      <c r="BC256" s="102"/>
      <c r="BD256" s="102">
        <v>367</v>
      </c>
      <c r="BE256" s="102">
        <v>1.2</v>
      </c>
      <c r="BF256" s="102">
        <v>701</v>
      </c>
      <c r="BG256" s="102">
        <v>2.2000000000000002</v>
      </c>
      <c r="BH256" s="102">
        <v>7314</v>
      </c>
      <c r="BI256" s="102">
        <v>23.12</v>
      </c>
      <c r="BJ256" s="102">
        <v>4237</v>
      </c>
      <c r="BK256" s="102">
        <v>13.4</v>
      </c>
      <c r="BL256" s="102">
        <v>3037</v>
      </c>
      <c r="BM256" s="102">
        <v>9.6</v>
      </c>
      <c r="BN256" s="102"/>
      <c r="BO256" s="102"/>
      <c r="BP256" s="102"/>
      <c r="BQ256" s="102"/>
      <c r="BR256" s="102" t="s">
        <v>967</v>
      </c>
      <c r="BS256" s="54" t="s">
        <v>29</v>
      </c>
      <c r="BT256" s="45" t="str">
        <f t="shared" si="117"/>
        <v>Yes</v>
      </c>
      <c r="BU256" s="45" t="str">
        <f t="shared" si="118"/>
        <v>No</v>
      </c>
      <c r="BV256" s="45" t="str">
        <f t="shared" si="119"/>
        <v>No</v>
      </c>
      <c r="BW256" s="55">
        <f t="shared" si="132"/>
        <v>84.519846095572262</v>
      </c>
      <c r="BX256" s="55">
        <v>77.336615807402737</v>
      </c>
      <c r="BY256" s="55">
        <v>85.749846095572252</v>
      </c>
      <c r="BZ256" s="55">
        <f t="shared" si="131"/>
        <v>78.566615807402741</v>
      </c>
      <c r="CA256" s="45">
        <v>2004</v>
      </c>
      <c r="CB256" s="55">
        <f t="shared" si="120"/>
        <v>60.031231551484453</v>
      </c>
      <c r="CC256" s="46" t="s">
        <v>490</v>
      </c>
      <c r="CD256" s="46" t="s">
        <v>71</v>
      </c>
      <c r="CE256" s="71" t="s">
        <v>783</v>
      </c>
      <c r="CF256" s="46">
        <v>1</v>
      </c>
      <c r="CG256" s="46" t="str">
        <f t="shared" si="129"/>
        <v>No</v>
      </c>
      <c r="CH256" s="46" t="s">
        <v>35</v>
      </c>
      <c r="CI256" s="56">
        <v>500</v>
      </c>
      <c r="CJ256" s="46" t="s">
        <v>180</v>
      </c>
      <c r="CK256" s="79">
        <v>1000</v>
      </c>
      <c r="CL256" s="49" t="s">
        <v>35</v>
      </c>
      <c r="CM256" s="50">
        <f>(2/13)*100</f>
        <v>15.384615384615385</v>
      </c>
      <c r="CN256" s="50"/>
      <c r="CO256" s="50"/>
      <c r="CP256" s="46" t="s">
        <v>23</v>
      </c>
      <c r="CQ256" s="46" t="s">
        <v>24</v>
      </c>
      <c r="CR256" s="46">
        <v>11</v>
      </c>
      <c r="CS256" s="46" t="s">
        <v>855</v>
      </c>
      <c r="CT256" s="46" t="s">
        <v>856</v>
      </c>
      <c r="CU256" s="46" t="s">
        <v>213</v>
      </c>
      <c r="CV256" s="46">
        <v>0</v>
      </c>
      <c r="CW256" s="46">
        <v>1</v>
      </c>
      <c r="CX256" s="49" t="s">
        <v>922</v>
      </c>
      <c r="CY256" s="49" t="s">
        <v>915</v>
      </c>
      <c r="CZ256" s="49">
        <v>0</v>
      </c>
      <c r="DA256" s="49">
        <v>1</v>
      </c>
      <c r="DB256" s="57">
        <v>52511</v>
      </c>
      <c r="DC256" s="58">
        <v>59.4</v>
      </c>
      <c r="DD256" s="58">
        <v>3.83</v>
      </c>
      <c r="DE256" s="58">
        <v>7.13</v>
      </c>
      <c r="DF256" s="58">
        <v>26.52</v>
      </c>
      <c r="DG256" s="58">
        <v>4.4981051589190839</v>
      </c>
      <c r="DH256" s="58">
        <v>40.6</v>
      </c>
      <c r="DI256" s="45" t="s">
        <v>29</v>
      </c>
      <c r="DJ256" s="59" t="str">
        <f t="shared" si="133"/>
        <v>N/A</v>
      </c>
      <c r="DK256" s="60">
        <v>52511</v>
      </c>
      <c r="DL256" s="58">
        <v>59.4</v>
      </c>
      <c r="DM256" s="58">
        <v>3.83</v>
      </c>
      <c r="DN256" s="58">
        <v>7.13</v>
      </c>
      <c r="DO256" s="58">
        <v>40.6</v>
      </c>
      <c r="DP256" s="82">
        <v>49.2</v>
      </c>
      <c r="DQ256" s="67">
        <v>75916.37</v>
      </c>
      <c r="DR256" s="58">
        <v>11.3</v>
      </c>
      <c r="DS256" s="58">
        <v>75.3</v>
      </c>
      <c r="DT256" s="53">
        <v>35</v>
      </c>
      <c r="DU256" s="55">
        <v>2.2999999999999998</v>
      </c>
      <c r="DV256" s="50">
        <v>36.5</v>
      </c>
      <c r="DW256" s="58">
        <v>81.2</v>
      </c>
      <c r="DX256" s="53">
        <v>79.629300000000001</v>
      </c>
      <c r="DY256" s="53">
        <v>35.761299999999999</v>
      </c>
      <c r="DZ256" s="78" t="s">
        <v>938</v>
      </c>
    </row>
    <row r="257" spans="1:130" s="5" customFormat="1" ht="14.25" customHeight="1">
      <c r="A257" s="45">
        <v>1243</v>
      </c>
      <c r="B257" s="46" t="s">
        <v>210</v>
      </c>
      <c r="C257" s="46">
        <v>2004</v>
      </c>
      <c r="D257" s="46" t="s">
        <v>219</v>
      </c>
      <c r="E257" s="46" t="s">
        <v>236</v>
      </c>
      <c r="F257" s="46">
        <v>4</v>
      </c>
      <c r="G257" s="48">
        <v>108000</v>
      </c>
      <c r="H257" s="46" t="s">
        <v>249</v>
      </c>
      <c r="I257" s="46">
        <v>1</v>
      </c>
      <c r="J257" s="46">
        <v>6</v>
      </c>
      <c r="K257" s="49" t="s">
        <v>264</v>
      </c>
      <c r="L257" s="49" t="s">
        <v>30</v>
      </c>
      <c r="M257" s="49" t="s">
        <v>29</v>
      </c>
      <c r="N257" s="49" t="s">
        <v>513</v>
      </c>
      <c r="O257" s="49"/>
      <c r="P257" s="49" t="s">
        <v>174</v>
      </c>
      <c r="Q257" s="49" t="s">
        <v>29</v>
      </c>
      <c r="R257" s="49">
        <v>2</v>
      </c>
      <c r="S257" s="50">
        <f t="shared" si="124"/>
        <v>33.333333333333329</v>
      </c>
      <c r="T257" s="49" t="str">
        <f>LEFT(V257,2)</f>
        <v xml:space="preserve">3 </v>
      </c>
      <c r="U257" s="50">
        <f t="shared" si="125"/>
        <v>50</v>
      </c>
      <c r="V257" s="49" t="s">
        <v>791</v>
      </c>
      <c r="W257" s="49">
        <v>2</v>
      </c>
      <c r="X257" s="50">
        <f t="shared" si="126"/>
        <v>33.333333333333329</v>
      </c>
      <c r="Y257" s="51" t="str">
        <f t="shared" si="127"/>
        <v>No</v>
      </c>
      <c r="Z257" s="49" t="s">
        <v>29</v>
      </c>
      <c r="AA257" s="49" t="s">
        <v>29</v>
      </c>
      <c r="AB257" s="49" t="s">
        <v>29</v>
      </c>
      <c r="AC257" s="46" t="s">
        <v>72</v>
      </c>
      <c r="AD257" s="46" t="s">
        <v>27</v>
      </c>
      <c r="AE257" s="46" t="s">
        <v>89</v>
      </c>
      <c r="AF257" s="46" t="s">
        <v>29</v>
      </c>
      <c r="AG257" s="103">
        <v>26275</v>
      </c>
      <c r="AH257" s="52">
        <v>24733</v>
      </c>
      <c r="AI257" s="52">
        <v>24733</v>
      </c>
      <c r="AJ257" s="102">
        <v>50.73</v>
      </c>
      <c r="AK257" s="104">
        <v>101.46</v>
      </c>
      <c r="AL257" s="102">
        <v>50.73</v>
      </c>
      <c r="AM257" s="102"/>
      <c r="AN257" s="53">
        <f t="shared" si="128"/>
        <v>101.46</v>
      </c>
      <c r="AO257" s="53">
        <v>22.08</v>
      </c>
      <c r="AP257" s="102">
        <v>1235</v>
      </c>
      <c r="AQ257" s="102">
        <v>4.7</v>
      </c>
      <c r="AR257" s="102">
        <v>283</v>
      </c>
      <c r="AS257" s="102">
        <v>1.1000000000000001</v>
      </c>
      <c r="AT257" s="102"/>
      <c r="AU257" s="102"/>
      <c r="AV257" s="102"/>
      <c r="AW257" s="102"/>
      <c r="AX257" s="102"/>
      <c r="AY257" s="102"/>
      <c r="AZ257" s="102"/>
      <c r="BA257" s="102"/>
      <c r="BB257" s="102"/>
      <c r="BC257" s="102"/>
      <c r="BD257" s="102">
        <v>402</v>
      </c>
      <c r="BE257" s="102">
        <v>1.6</v>
      </c>
      <c r="BF257" s="102">
        <v>666</v>
      </c>
      <c r="BG257" s="102">
        <v>2.7</v>
      </c>
      <c r="BH257" s="102"/>
      <c r="BI257" s="102"/>
      <c r="BJ257" s="102"/>
      <c r="BK257" s="102"/>
      <c r="BL257" s="102"/>
      <c r="BM257" s="102"/>
      <c r="BN257" s="102"/>
      <c r="BO257" s="102"/>
      <c r="BP257" s="102"/>
      <c r="BQ257" s="102"/>
      <c r="BR257" s="102" t="s">
        <v>967</v>
      </c>
      <c r="BS257" s="54" t="s">
        <v>29</v>
      </c>
      <c r="BT257" s="45" t="str">
        <f t="shared" si="117"/>
        <v>No</v>
      </c>
      <c r="BU257" s="45" t="str">
        <f t="shared" si="118"/>
        <v>No</v>
      </c>
      <c r="BV257" s="45" t="str">
        <f t="shared" si="119"/>
        <v>No</v>
      </c>
      <c r="BW257" s="55">
        <f t="shared" si="132"/>
        <v>84.519846095572262</v>
      </c>
      <c r="BX257" s="55">
        <v>90.10870817808167</v>
      </c>
      <c r="BY257" s="55">
        <v>85.749846095572252</v>
      </c>
      <c r="BZ257" s="55">
        <f t="shared" si="131"/>
        <v>91.338708178081674</v>
      </c>
      <c r="CA257" s="45">
        <v>2004</v>
      </c>
      <c r="CB257" s="55">
        <f t="shared" si="120"/>
        <v>62.948257870759207</v>
      </c>
      <c r="CC257" s="46" t="s">
        <v>490</v>
      </c>
      <c r="CD257" s="46" t="s">
        <v>71</v>
      </c>
      <c r="CE257" s="71" t="s">
        <v>783</v>
      </c>
      <c r="CF257" s="46">
        <v>1</v>
      </c>
      <c r="CG257" s="46" t="str">
        <f t="shared" si="129"/>
        <v>No</v>
      </c>
      <c r="CH257" s="46" t="s">
        <v>35</v>
      </c>
      <c r="CI257" s="56">
        <v>500</v>
      </c>
      <c r="CJ257" s="46" t="s">
        <v>180</v>
      </c>
      <c r="CK257" s="79">
        <v>1000</v>
      </c>
      <c r="CL257" s="49" t="s">
        <v>35</v>
      </c>
      <c r="CM257" s="50">
        <f>(3/7)*100</f>
        <v>42.857142857142854</v>
      </c>
      <c r="CN257" s="50"/>
      <c r="CO257" s="50"/>
      <c r="CP257" s="46" t="s">
        <v>23</v>
      </c>
      <c r="CQ257" s="46" t="s">
        <v>24</v>
      </c>
      <c r="CR257" s="46">
        <v>11</v>
      </c>
      <c r="CS257" s="46" t="s">
        <v>855</v>
      </c>
      <c r="CT257" s="46" t="s">
        <v>856</v>
      </c>
      <c r="CU257" s="46" t="s">
        <v>213</v>
      </c>
      <c r="CV257" s="46">
        <v>0</v>
      </c>
      <c r="CW257" s="46">
        <v>1</v>
      </c>
      <c r="CX257" s="49" t="s">
        <v>922</v>
      </c>
      <c r="CY257" s="49" t="s">
        <v>915</v>
      </c>
      <c r="CZ257" s="49">
        <v>0</v>
      </c>
      <c r="DA257" s="49">
        <v>1</v>
      </c>
      <c r="DB257" s="57">
        <v>39291</v>
      </c>
      <c r="DC257" s="58">
        <v>39.97</v>
      </c>
      <c r="DD257" s="58">
        <v>5.47</v>
      </c>
      <c r="DE257" s="58">
        <v>26.279999999999998</v>
      </c>
      <c r="DF257" s="58">
        <v>24.169999999999998</v>
      </c>
      <c r="DG257" s="58">
        <v>5.1945738209768137</v>
      </c>
      <c r="DH257" s="58">
        <v>60.030000000000008</v>
      </c>
      <c r="DI257" s="45" t="s">
        <v>35</v>
      </c>
      <c r="DJ257" s="59" t="str">
        <f t="shared" si="133"/>
        <v>No single majority group</v>
      </c>
      <c r="DK257" s="60">
        <v>39291</v>
      </c>
      <c r="DL257" s="58">
        <v>39.97</v>
      </c>
      <c r="DM257" s="58">
        <v>5.47</v>
      </c>
      <c r="DN257" s="58">
        <v>26.279999999999998</v>
      </c>
      <c r="DO257" s="58">
        <v>60.030000000000008</v>
      </c>
      <c r="DP257" s="82">
        <v>49.2</v>
      </c>
      <c r="DQ257" s="67">
        <v>75916.37</v>
      </c>
      <c r="DR257" s="58">
        <v>11.3</v>
      </c>
      <c r="DS257" s="58">
        <v>75.3</v>
      </c>
      <c r="DT257" s="53">
        <v>35</v>
      </c>
      <c r="DU257" s="55">
        <v>2.2999999999999998</v>
      </c>
      <c r="DV257" s="50">
        <v>36.5</v>
      </c>
      <c r="DW257" s="58">
        <v>81.2</v>
      </c>
      <c r="DX257" s="53">
        <v>79.629300000000001</v>
      </c>
      <c r="DY257" s="53">
        <v>35.761299999999999</v>
      </c>
      <c r="DZ257" s="63"/>
    </row>
    <row r="258" spans="1:130" s="5" customFormat="1" ht="14.25" customHeight="1">
      <c r="A258" s="45">
        <v>1244</v>
      </c>
      <c r="B258" s="46" t="s">
        <v>210</v>
      </c>
      <c r="C258" s="46">
        <v>2004</v>
      </c>
      <c r="D258" s="46" t="s">
        <v>219</v>
      </c>
      <c r="E258" s="46" t="s">
        <v>238</v>
      </c>
      <c r="F258" s="46">
        <v>4</v>
      </c>
      <c r="G258" s="48">
        <v>108000</v>
      </c>
      <c r="H258" s="46" t="s">
        <v>249</v>
      </c>
      <c r="I258" s="46">
        <v>1</v>
      </c>
      <c r="J258" s="46">
        <v>7</v>
      </c>
      <c r="K258" s="49" t="s">
        <v>265</v>
      </c>
      <c r="L258" s="49" t="s">
        <v>30</v>
      </c>
      <c r="M258" s="49" t="s">
        <v>29</v>
      </c>
      <c r="N258" s="49" t="s">
        <v>513</v>
      </c>
      <c r="O258" s="49"/>
      <c r="P258" s="49" t="s">
        <v>857</v>
      </c>
      <c r="Q258" s="49" t="s">
        <v>35</v>
      </c>
      <c r="R258" s="49">
        <v>3</v>
      </c>
      <c r="S258" s="50">
        <f t="shared" si="124"/>
        <v>42.857142857142854</v>
      </c>
      <c r="T258" s="49">
        <v>4</v>
      </c>
      <c r="U258" s="50">
        <f t="shared" si="125"/>
        <v>57.142857142857139</v>
      </c>
      <c r="V258" s="81" t="s">
        <v>882</v>
      </c>
      <c r="W258" s="49">
        <v>2</v>
      </c>
      <c r="X258" s="50">
        <f t="shared" si="126"/>
        <v>28.571428571428569</v>
      </c>
      <c r="Y258" s="51" t="str">
        <f t="shared" si="127"/>
        <v>No</v>
      </c>
      <c r="Z258" s="49" t="s">
        <v>29</v>
      </c>
      <c r="AA258" s="49" t="s">
        <v>35</v>
      </c>
      <c r="AB258" s="49" t="s">
        <v>29</v>
      </c>
      <c r="AC258" s="46" t="s">
        <v>132</v>
      </c>
      <c r="AD258" s="46" t="s">
        <v>27</v>
      </c>
      <c r="AE258" s="46" t="s">
        <v>89</v>
      </c>
      <c r="AF258" s="46" t="s">
        <v>29</v>
      </c>
      <c r="AG258" s="103">
        <v>24902</v>
      </c>
      <c r="AH258" s="52">
        <v>23039</v>
      </c>
      <c r="AI258" s="52">
        <v>23039</v>
      </c>
      <c r="AJ258" s="102">
        <v>32.24</v>
      </c>
      <c r="AK258" s="104">
        <v>64.48</v>
      </c>
      <c r="AL258" s="102">
        <v>58.33</v>
      </c>
      <c r="AM258" s="102"/>
      <c r="AN258" s="53">
        <f t="shared" si="128"/>
        <v>116.66</v>
      </c>
      <c r="AO258" s="53">
        <v>18.489999999999998</v>
      </c>
      <c r="AP258" s="102">
        <v>1507</v>
      </c>
      <c r="AQ258" s="102">
        <v>6.1</v>
      </c>
      <c r="AR258" s="50">
        <v>340</v>
      </c>
      <c r="AS258" s="102">
        <v>1.5</v>
      </c>
      <c r="AT258" s="102"/>
      <c r="AU258" s="102"/>
      <c r="AV258" s="102">
        <v>51</v>
      </c>
      <c r="AW258" s="102">
        <v>0.2</v>
      </c>
      <c r="AX258" s="50"/>
      <c r="AY258" s="50"/>
      <c r="AZ258" s="102"/>
      <c r="BA258" s="102"/>
      <c r="BB258" s="102"/>
      <c r="BC258" s="102"/>
      <c r="BD258" s="50">
        <v>434</v>
      </c>
      <c r="BE258" s="50">
        <v>1.9</v>
      </c>
      <c r="BF258" s="50">
        <v>748</v>
      </c>
      <c r="BG258" s="50">
        <v>3.2</v>
      </c>
      <c r="BH258" s="102">
        <v>4869</v>
      </c>
      <c r="BI258" s="102">
        <v>21.01</v>
      </c>
      <c r="BJ258" s="102">
        <v>2526</v>
      </c>
      <c r="BK258" s="102">
        <v>10.9</v>
      </c>
      <c r="BL258" s="102">
        <v>2292</v>
      </c>
      <c r="BM258" s="102">
        <v>9.9</v>
      </c>
      <c r="BN258" s="102"/>
      <c r="BO258" s="50"/>
      <c r="BP258" s="50"/>
      <c r="BQ258" s="50"/>
      <c r="BR258" s="102" t="s">
        <v>967</v>
      </c>
      <c r="BS258" s="54" t="s">
        <v>29</v>
      </c>
      <c r="BT258" s="45" t="str">
        <f t="shared" si="117"/>
        <v>Yes</v>
      </c>
      <c r="BU258" s="45" t="str">
        <f t="shared" si="118"/>
        <v>No</v>
      </c>
      <c r="BV258" s="45" t="str">
        <f t="shared" si="119"/>
        <v>No</v>
      </c>
      <c r="BW258" s="55">
        <f t="shared" si="132"/>
        <v>84.519846095572262</v>
      </c>
      <c r="BX258" s="55">
        <v>84.328927811031221</v>
      </c>
      <c r="BY258" s="55">
        <v>85.749846095572252</v>
      </c>
      <c r="BZ258" s="55">
        <f t="shared" si="131"/>
        <v>85.558927811031225</v>
      </c>
      <c r="CA258" s="45">
        <v>2004</v>
      </c>
      <c r="CB258" s="55">
        <f t="shared" si="120"/>
        <v>53.71272701839461</v>
      </c>
      <c r="CC258" s="46" t="s">
        <v>490</v>
      </c>
      <c r="CD258" s="46" t="s">
        <v>71</v>
      </c>
      <c r="CE258" s="71" t="s">
        <v>783</v>
      </c>
      <c r="CF258" s="46">
        <v>1</v>
      </c>
      <c r="CG258" s="46" t="str">
        <f t="shared" si="129"/>
        <v>No</v>
      </c>
      <c r="CH258" s="46" t="s">
        <v>35</v>
      </c>
      <c r="CI258" s="56">
        <v>500</v>
      </c>
      <c r="CJ258" s="46" t="s">
        <v>180</v>
      </c>
      <c r="CK258" s="79">
        <v>1000</v>
      </c>
      <c r="CL258" s="49" t="s">
        <v>35</v>
      </c>
      <c r="CM258" s="50">
        <f>(2/9)*100</f>
        <v>22.222222222222221</v>
      </c>
      <c r="CN258" s="50"/>
      <c r="CO258" s="50"/>
      <c r="CP258" s="46" t="s">
        <v>23</v>
      </c>
      <c r="CQ258" s="46" t="s">
        <v>24</v>
      </c>
      <c r="CR258" s="46">
        <v>11</v>
      </c>
      <c r="CS258" s="46" t="s">
        <v>855</v>
      </c>
      <c r="CT258" s="46" t="s">
        <v>856</v>
      </c>
      <c r="CU258" s="46" t="s">
        <v>213</v>
      </c>
      <c r="CV258" s="46">
        <v>0</v>
      </c>
      <c r="CW258" s="46">
        <v>1</v>
      </c>
      <c r="CX258" s="49" t="s">
        <v>922</v>
      </c>
      <c r="CY258" s="49" t="s">
        <v>915</v>
      </c>
      <c r="CZ258" s="49">
        <v>0</v>
      </c>
      <c r="DA258" s="49">
        <v>1</v>
      </c>
      <c r="DB258" s="57">
        <v>42893</v>
      </c>
      <c r="DC258" s="58">
        <v>22.27</v>
      </c>
      <c r="DD258" s="58">
        <v>10.82</v>
      </c>
      <c r="DE258" s="58">
        <v>19.470000000000002</v>
      </c>
      <c r="DF258" s="58">
        <v>44.31</v>
      </c>
      <c r="DG258" s="58">
        <v>4.1009022451215813</v>
      </c>
      <c r="DH258" s="58">
        <v>77.73</v>
      </c>
      <c r="DI258" s="45" t="s">
        <v>35</v>
      </c>
      <c r="DJ258" s="59" t="str">
        <f t="shared" si="133"/>
        <v>No single majority group</v>
      </c>
      <c r="DK258" s="60">
        <v>42893</v>
      </c>
      <c r="DL258" s="58">
        <v>22.27</v>
      </c>
      <c r="DM258" s="58">
        <v>10.82</v>
      </c>
      <c r="DN258" s="58">
        <v>19.470000000000002</v>
      </c>
      <c r="DO258" s="58">
        <v>77.73</v>
      </c>
      <c r="DP258" s="82">
        <v>49.2</v>
      </c>
      <c r="DQ258" s="67">
        <v>75916.37</v>
      </c>
      <c r="DR258" s="58">
        <v>11.3</v>
      </c>
      <c r="DS258" s="58">
        <v>75.3</v>
      </c>
      <c r="DT258" s="53">
        <v>35</v>
      </c>
      <c r="DU258" s="55">
        <v>2.2999999999999998</v>
      </c>
      <c r="DV258" s="50">
        <v>36.5</v>
      </c>
      <c r="DW258" s="58">
        <v>81.2</v>
      </c>
      <c r="DX258" s="53">
        <v>79.629300000000001</v>
      </c>
      <c r="DY258" s="53">
        <v>35.761299999999999</v>
      </c>
      <c r="DZ258" s="63"/>
    </row>
    <row r="259" spans="1:130" s="5" customFormat="1" ht="14.25" customHeight="1">
      <c r="A259" s="45">
        <v>1235</v>
      </c>
      <c r="B259" s="46" t="s">
        <v>210</v>
      </c>
      <c r="C259" s="46">
        <v>2005</v>
      </c>
      <c r="D259" s="46" t="s">
        <v>211</v>
      </c>
      <c r="E259" s="46" t="s">
        <v>22</v>
      </c>
      <c r="F259" s="46">
        <v>1</v>
      </c>
      <c r="G259" s="48">
        <v>180000</v>
      </c>
      <c r="H259" s="46" t="s">
        <v>249</v>
      </c>
      <c r="I259" s="46">
        <v>1</v>
      </c>
      <c r="J259" s="46">
        <v>3</v>
      </c>
      <c r="K259" s="49" t="s">
        <v>246</v>
      </c>
      <c r="L259" s="49" t="s">
        <v>30</v>
      </c>
      <c r="M259" s="49" t="s">
        <v>29</v>
      </c>
      <c r="N259" s="49" t="s">
        <v>512</v>
      </c>
      <c r="O259" s="49"/>
      <c r="P259" s="49" t="s">
        <v>34</v>
      </c>
      <c r="Q259" s="49" t="s">
        <v>35</v>
      </c>
      <c r="R259" s="49">
        <v>0</v>
      </c>
      <c r="S259" s="50">
        <f t="shared" si="124"/>
        <v>0</v>
      </c>
      <c r="T259" s="49">
        <v>3</v>
      </c>
      <c r="U259" s="50">
        <f t="shared" si="125"/>
        <v>100</v>
      </c>
      <c r="V259" s="49" t="s">
        <v>796</v>
      </c>
      <c r="W259" s="49">
        <v>0</v>
      </c>
      <c r="X259" s="50">
        <f t="shared" si="126"/>
        <v>0</v>
      </c>
      <c r="Y259" s="51" t="str">
        <f t="shared" si="127"/>
        <v>No</v>
      </c>
      <c r="Z259" s="49" t="s">
        <v>35</v>
      </c>
      <c r="AA259" s="49" t="s">
        <v>23</v>
      </c>
      <c r="AB259" s="49" t="s">
        <v>23</v>
      </c>
      <c r="AC259" s="46" t="s">
        <v>135</v>
      </c>
      <c r="AD259" s="46" t="s">
        <v>27</v>
      </c>
      <c r="AE259" s="46" t="s">
        <v>228</v>
      </c>
      <c r="AF259" s="46" t="s">
        <v>35</v>
      </c>
      <c r="AG259" s="103">
        <v>225370</v>
      </c>
      <c r="AH259" s="52">
        <v>195501</v>
      </c>
      <c r="AI259" s="52">
        <v>195501</v>
      </c>
      <c r="AJ259" s="102">
        <v>47.43</v>
      </c>
      <c r="AK259" s="104">
        <v>94.86</v>
      </c>
      <c r="AL259" s="102">
        <v>58.13</v>
      </c>
      <c r="AM259" s="102"/>
      <c r="AN259" s="53">
        <f t="shared" si="128"/>
        <v>116.26</v>
      </c>
      <c r="AO259" s="53">
        <v>36.159999999999997</v>
      </c>
      <c r="AP259" s="102">
        <v>25398</v>
      </c>
      <c r="AQ259" s="102">
        <v>11.3</v>
      </c>
      <c r="AR259" s="102">
        <v>1288</v>
      </c>
      <c r="AS259" s="102">
        <v>0.6</v>
      </c>
      <c r="AT259" s="102"/>
      <c r="AU259" s="102"/>
      <c r="AV259" s="102">
        <v>66</v>
      </c>
      <c r="AW259" s="102">
        <v>0</v>
      </c>
      <c r="AX259" s="102"/>
      <c r="AY259" s="102"/>
      <c r="AZ259" s="102"/>
      <c r="BA259" s="102"/>
      <c r="BB259" s="102"/>
      <c r="BC259" s="102"/>
      <c r="BD259" s="102">
        <v>5735</v>
      </c>
      <c r="BE259" s="102">
        <v>2.9</v>
      </c>
      <c r="BF259" s="102">
        <v>6933</v>
      </c>
      <c r="BG259" s="102">
        <v>3.5</v>
      </c>
      <c r="BH259" s="102">
        <v>9910</v>
      </c>
      <c r="BI259" s="102">
        <v>4.97</v>
      </c>
      <c r="BJ259" s="102">
        <v>0</v>
      </c>
      <c r="BK259" s="102">
        <v>0</v>
      </c>
      <c r="BL259" s="102">
        <v>9844</v>
      </c>
      <c r="BM259" s="102">
        <v>4.9000000000000004</v>
      </c>
      <c r="BN259" s="102"/>
      <c r="BO259" s="102"/>
      <c r="BP259" s="102"/>
      <c r="BQ259" s="102"/>
      <c r="BR259" s="102" t="s">
        <v>967</v>
      </c>
      <c r="BS259" s="54" t="s">
        <v>29</v>
      </c>
      <c r="BT259" s="45" t="str">
        <f t="shared" si="117"/>
        <v>Yes</v>
      </c>
      <c r="BU259" s="45" t="str">
        <f t="shared" si="118"/>
        <v>Yes</v>
      </c>
      <c r="BV259" s="45" t="str">
        <f t="shared" si="119"/>
        <v>No</v>
      </c>
      <c r="BW259" s="55">
        <f t="shared" si="132"/>
        <v>84.519846095572262</v>
      </c>
      <c r="BX259" s="55">
        <f>(296772/(296772+54355))*100</f>
        <v>84.519846095572262</v>
      </c>
      <c r="BY259" s="55">
        <v>85.749846095572252</v>
      </c>
      <c r="BZ259" s="55">
        <f t="shared" si="131"/>
        <v>85.749846095572266</v>
      </c>
      <c r="CA259" s="45">
        <v>2004</v>
      </c>
      <c r="CB259" s="55">
        <f t="shared" si="120"/>
        <v>33.43326207781103</v>
      </c>
      <c r="CC259" s="46" t="s">
        <v>490</v>
      </c>
      <c r="CD259" s="46" t="s">
        <v>71</v>
      </c>
      <c r="CE259" s="71" t="s">
        <v>783</v>
      </c>
      <c r="CF259" s="46">
        <v>1</v>
      </c>
      <c r="CG259" s="46" t="str">
        <f t="shared" si="129"/>
        <v>No</v>
      </c>
      <c r="CH259" s="46" t="s">
        <v>29</v>
      </c>
      <c r="CI259" s="56">
        <v>3100</v>
      </c>
      <c r="CJ259" s="46" t="s">
        <v>180</v>
      </c>
      <c r="CK259" s="79">
        <f>CI259*2</f>
        <v>6200</v>
      </c>
      <c r="CL259" s="49" t="s">
        <v>29</v>
      </c>
      <c r="CM259" s="50">
        <v>0</v>
      </c>
      <c r="CN259" s="50"/>
      <c r="CO259" s="50"/>
      <c r="CP259" s="46" t="s">
        <v>23</v>
      </c>
      <c r="CQ259" s="46" t="s">
        <v>23</v>
      </c>
      <c r="CR259" s="46">
        <v>11</v>
      </c>
      <c r="CS259" s="46" t="s">
        <v>855</v>
      </c>
      <c r="CT259" s="46" t="s">
        <v>963</v>
      </c>
      <c r="CU259" s="46" t="s">
        <v>213</v>
      </c>
      <c r="CV259" s="46">
        <v>0</v>
      </c>
      <c r="CW259" s="46">
        <v>1</v>
      </c>
      <c r="CX259" s="49" t="s">
        <v>922</v>
      </c>
      <c r="CY259" s="49" t="s">
        <v>915</v>
      </c>
      <c r="CZ259" s="49">
        <v>0</v>
      </c>
      <c r="DA259" s="49">
        <v>1</v>
      </c>
      <c r="DB259" s="57">
        <v>584750</v>
      </c>
      <c r="DC259" s="58">
        <v>48.78</v>
      </c>
      <c r="DD259" s="58">
        <v>6.5699999999999994</v>
      </c>
      <c r="DE259" s="58">
        <v>10.93</v>
      </c>
      <c r="DF259" s="58">
        <v>30.69</v>
      </c>
      <c r="DG259" s="58">
        <v>3.0299999999999994</v>
      </c>
      <c r="DH259" s="58">
        <v>51.22</v>
      </c>
      <c r="DI259" s="45" t="s">
        <v>35</v>
      </c>
      <c r="DJ259" s="59" t="str">
        <f t="shared" si="133"/>
        <v>No single majority group</v>
      </c>
      <c r="DK259" s="60">
        <v>584750</v>
      </c>
      <c r="DL259" s="58">
        <v>48.78</v>
      </c>
      <c r="DM259" s="58">
        <v>6.5699999999999994</v>
      </c>
      <c r="DN259" s="58">
        <v>10.93</v>
      </c>
      <c r="DO259" s="58">
        <v>51.22</v>
      </c>
      <c r="DP259" s="66">
        <v>48.35</v>
      </c>
      <c r="DQ259" s="67">
        <v>77287.320000000007</v>
      </c>
      <c r="DR259" s="53">
        <v>11.5</v>
      </c>
      <c r="DS259" s="58">
        <v>78.099999999999994</v>
      </c>
      <c r="DT259" s="53">
        <v>37.200000000000003</v>
      </c>
      <c r="DU259" s="55">
        <v>2.41</v>
      </c>
      <c r="DV259" s="50">
        <v>38.200000000000003</v>
      </c>
      <c r="DW259" s="53">
        <v>85.6</v>
      </c>
      <c r="DX259" s="53">
        <v>88.55</v>
      </c>
      <c r="DY259" s="53">
        <v>43.3553</v>
      </c>
      <c r="DZ259" s="78" t="s">
        <v>936</v>
      </c>
    </row>
    <row r="260" spans="1:130" s="5" customFormat="1" ht="14.25" customHeight="1">
      <c r="A260" s="45">
        <v>1237</v>
      </c>
      <c r="B260" s="46" t="s">
        <v>210</v>
      </c>
      <c r="C260" s="46">
        <v>2005</v>
      </c>
      <c r="D260" s="46" t="s">
        <v>227</v>
      </c>
      <c r="E260" s="46" t="s">
        <v>22</v>
      </c>
      <c r="F260" s="46">
        <v>4</v>
      </c>
      <c r="G260" s="48">
        <v>210000</v>
      </c>
      <c r="H260" s="46" t="s">
        <v>249</v>
      </c>
      <c r="I260" s="46">
        <v>1</v>
      </c>
      <c r="J260" s="46">
        <v>1</v>
      </c>
      <c r="K260" s="49" t="s">
        <v>259</v>
      </c>
      <c r="L260" s="49" t="s">
        <v>30</v>
      </c>
      <c r="M260" s="49" t="s">
        <v>29</v>
      </c>
      <c r="N260" s="49" t="s">
        <v>513</v>
      </c>
      <c r="O260" s="49"/>
      <c r="P260" s="49" t="s">
        <v>857</v>
      </c>
      <c r="Q260" s="49" t="s">
        <v>35</v>
      </c>
      <c r="R260" s="49">
        <v>0</v>
      </c>
      <c r="S260" s="50">
        <f t="shared" si="124"/>
        <v>0</v>
      </c>
      <c r="T260" s="49" t="str">
        <f>LEFT(V260,2)</f>
        <v xml:space="preserve">1 </v>
      </c>
      <c r="U260" s="50">
        <f t="shared" si="125"/>
        <v>100</v>
      </c>
      <c r="V260" s="49" t="s">
        <v>789</v>
      </c>
      <c r="W260" s="49">
        <v>0</v>
      </c>
      <c r="X260" s="50">
        <f t="shared" si="126"/>
        <v>0</v>
      </c>
      <c r="Y260" s="51" t="str">
        <f t="shared" si="127"/>
        <v>No</v>
      </c>
      <c r="Z260" s="49" t="s">
        <v>29</v>
      </c>
      <c r="AA260" s="49" t="s">
        <v>35</v>
      </c>
      <c r="AB260" s="49" t="s">
        <v>29</v>
      </c>
      <c r="AC260" s="46" t="s">
        <v>72</v>
      </c>
      <c r="AD260" s="46" t="s">
        <v>27</v>
      </c>
      <c r="AE260" s="46" t="s">
        <v>228</v>
      </c>
      <c r="AF260" s="46" t="s">
        <v>29</v>
      </c>
      <c r="AG260" s="103">
        <v>229714</v>
      </c>
      <c r="AH260" s="52">
        <v>185607</v>
      </c>
      <c r="AI260" s="52">
        <v>185607</v>
      </c>
      <c r="AJ260" s="102">
        <v>98.07</v>
      </c>
      <c r="AK260" s="104">
        <v>196.14</v>
      </c>
      <c r="AL260" s="102">
        <v>98.07</v>
      </c>
      <c r="AM260" s="102"/>
      <c r="AN260" s="53">
        <f t="shared" si="128"/>
        <v>196.14</v>
      </c>
      <c r="AO260" s="53" t="s">
        <v>23</v>
      </c>
      <c r="AP260" s="102">
        <v>44107</v>
      </c>
      <c r="AQ260" s="102">
        <v>19.200832339343705</v>
      </c>
      <c r="AR260" s="102"/>
      <c r="AS260" s="102"/>
      <c r="AT260" s="102"/>
      <c r="AU260" s="102"/>
      <c r="AV260" s="102"/>
      <c r="AW260" s="102"/>
      <c r="AX260" s="102"/>
      <c r="AY260" s="102"/>
      <c r="AZ260" s="102"/>
      <c r="BA260" s="102"/>
      <c r="BB260" s="102"/>
      <c r="BC260" s="102"/>
      <c r="BD260" s="102"/>
      <c r="BE260" s="102"/>
      <c r="BF260" s="102"/>
      <c r="BG260" s="102"/>
      <c r="BH260" s="102"/>
      <c r="BI260" s="102"/>
      <c r="BJ260" s="102"/>
      <c r="BK260" s="102"/>
      <c r="BL260" s="102"/>
      <c r="BM260" s="102"/>
      <c r="BN260" s="102"/>
      <c r="BO260" s="102"/>
      <c r="BP260" s="102"/>
      <c r="BQ260" s="102"/>
      <c r="BR260" s="102"/>
      <c r="BS260" s="54" t="s">
        <v>23</v>
      </c>
      <c r="BT260" s="45" t="str">
        <f t="shared" si="117"/>
        <v>No</v>
      </c>
      <c r="BU260" s="45" t="str">
        <f t="shared" si="118"/>
        <v>No</v>
      </c>
      <c r="BV260" s="45" t="str">
        <f t="shared" si="119"/>
        <v>No</v>
      </c>
      <c r="BW260" s="55">
        <f t="shared" si="132"/>
        <v>84.519846095572262</v>
      </c>
      <c r="BX260" s="55">
        <f>(296772/(296772+54355))*100</f>
        <v>84.519846095572262</v>
      </c>
      <c r="BY260" s="55">
        <v>85.749846095572252</v>
      </c>
      <c r="BZ260" s="55">
        <f t="shared" si="131"/>
        <v>85.749846095572266</v>
      </c>
      <c r="CA260" s="45">
        <v>2004</v>
      </c>
      <c r="CB260" s="55">
        <f t="shared" si="120"/>
        <v>31.741256947413426</v>
      </c>
      <c r="CC260" s="46" t="s">
        <v>490</v>
      </c>
      <c r="CD260" s="46" t="s">
        <v>71</v>
      </c>
      <c r="CE260" s="71" t="s">
        <v>783</v>
      </c>
      <c r="CF260" s="46">
        <v>1</v>
      </c>
      <c r="CG260" s="46" t="str">
        <f t="shared" si="129"/>
        <v>No</v>
      </c>
      <c r="CH260" s="46" t="s">
        <v>29</v>
      </c>
      <c r="CI260" s="56">
        <v>4200</v>
      </c>
      <c r="CJ260" s="46" t="s">
        <v>180</v>
      </c>
      <c r="CK260" s="79">
        <f>CI260*2</f>
        <v>8400</v>
      </c>
      <c r="CL260" s="49" t="s">
        <v>29</v>
      </c>
      <c r="CM260" s="50">
        <v>0</v>
      </c>
      <c r="CN260" s="50"/>
      <c r="CO260" s="50"/>
      <c r="CP260" s="46" t="s">
        <v>23</v>
      </c>
      <c r="CQ260" s="46" t="s">
        <v>23</v>
      </c>
      <c r="CR260" s="46">
        <v>11</v>
      </c>
      <c r="CS260" s="46" t="s">
        <v>855</v>
      </c>
      <c r="CT260" s="46" t="s">
        <v>963</v>
      </c>
      <c r="CU260" s="46" t="s">
        <v>213</v>
      </c>
      <c r="CV260" s="46">
        <v>0</v>
      </c>
      <c r="CW260" s="46">
        <v>1</v>
      </c>
      <c r="CX260" s="49" t="s">
        <v>922</v>
      </c>
      <c r="CY260" s="49" t="s">
        <v>915</v>
      </c>
      <c r="CZ260" s="49">
        <v>0</v>
      </c>
      <c r="DA260" s="49">
        <v>1</v>
      </c>
      <c r="DB260" s="57">
        <v>584750</v>
      </c>
      <c r="DC260" s="58">
        <v>48.78</v>
      </c>
      <c r="DD260" s="58">
        <v>6.5699999999999994</v>
      </c>
      <c r="DE260" s="58">
        <v>10.93</v>
      </c>
      <c r="DF260" s="58">
        <v>30.69</v>
      </c>
      <c r="DG260" s="58">
        <v>3.0299999999999994</v>
      </c>
      <c r="DH260" s="58">
        <v>51.22</v>
      </c>
      <c r="DI260" s="45" t="s">
        <v>35</v>
      </c>
      <c r="DJ260" s="59" t="str">
        <f t="shared" si="133"/>
        <v>No single majority group</v>
      </c>
      <c r="DK260" s="60">
        <v>584750</v>
      </c>
      <c r="DL260" s="58">
        <v>48.78</v>
      </c>
      <c r="DM260" s="58">
        <v>6.5699999999999994</v>
      </c>
      <c r="DN260" s="58">
        <v>10.93</v>
      </c>
      <c r="DO260" s="58">
        <v>51.22</v>
      </c>
      <c r="DP260" s="66">
        <v>48.35</v>
      </c>
      <c r="DQ260" s="67">
        <v>77287.320000000007</v>
      </c>
      <c r="DR260" s="53">
        <v>11.5</v>
      </c>
      <c r="DS260" s="58">
        <v>78.099999999999994</v>
      </c>
      <c r="DT260" s="53">
        <v>37.200000000000003</v>
      </c>
      <c r="DU260" s="55">
        <v>2.41</v>
      </c>
      <c r="DV260" s="50">
        <v>38.200000000000003</v>
      </c>
      <c r="DW260" s="53">
        <v>85.6</v>
      </c>
      <c r="DX260" s="53">
        <v>88.55</v>
      </c>
      <c r="DY260" s="53">
        <v>43.3553</v>
      </c>
      <c r="DZ260" s="63"/>
    </row>
    <row r="261" spans="1:130" s="5" customFormat="1" ht="14.25" customHeight="1">
      <c r="A261" s="45">
        <v>1236</v>
      </c>
      <c r="B261" s="46" t="s">
        <v>210</v>
      </c>
      <c r="C261" s="46">
        <v>2005</v>
      </c>
      <c r="D261" s="46" t="s">
        <v>230</v>
      </c>
      <c r="E261" s="46" t="s">
        <v>22</v>
      </c>
      <c r="F261" s="46">
        <v>4</v>
      </c>
      <c r="G261" s="48">
        <v>170000</v>
      </c>
      <c r="H261" s="46" t="s">
        <v>249</v>
      </c>
      <c r="I261" s="46">
        <v>1</v>
      </c>
      <c r="J261" s="46">
        <v>4</v>
      </c>
      <c r="K261" s="49" t="s">
        <v>231</v>
      </c>
      <c r="L261" s="49" t="s">
        <v>30</v>
      </c>
      <c r="M261" s="49" t="s">
        <v>29</v>
      </c>
      <c r="N261" s="49" t="s">
        <v>512</v>
      </c>
      <c r="O261" s="49"/>
      <c r="P261" s="49" t="s">
        <v>857</v>
      </c>
      <c r="Q261" s="49" t="s">
        <v>35</v>
      </c>
      <c r="R261" s="49">
        <v>0</v>
      </c>
      <c r="S261" s="50">
        <f t="shared" si="124"/>
        <v>0</v>
      </c>
      <c r="T261" s="49">
        <v>4</v>
      </c>
      <c r="U261" s="50">
        <f t="shared" si="125"/>
        <v>100</v>
      </c>
      <c r="V261" s="49" t="s">
        <v>787</v>
      </c>
      <c r="W261" s="49">
        <v>0</v>
      </c>
      <c r="X261" s="50">
        <f t="shared" si="126"/>
        <v>0</v>
      </c>
      <c r="Y261" s="51" t="str">
        <f t="shared" si="127"/>
        <v>No</v>
      </c>
      <c r="Z261" s="49" t="s">
        <v>35</v>
      </c>
      <c r="AA261" s="49" t="s">
        <v>23</v>
      </c>
      <c r="AB261" s="49" t="s">
        <v>23</v>
      </c>
      <c r="AC261" s="46" t="s">
        <v>72</v>
      </c>
      <c r="AD261" s="46" t="s">
        <v>27</v>
      </c>
      <c r="AE261" s="46" t="s">
        <v>228</v>
      </c>
      <c r="AF261" s="46" t="s">
        <v>29</v>
      </c>
      <c r="AG261" s="103">
        <v>225370</v>
      </c>
      <c r="AH261" s="52">
        <v>175398</v>
      </c>
      <c r="AI261" s="52">
        <v>175398</v>
      </c>
      <c r="AJ261" s="102">
        <v>61.36</v>
      </c>
      <c r="AK261" s="104">
        <v>122.72</v>
      </c>
      <c r="AL261" s="102">
        <v>61.36</v>
      </c>
      <c r="AM261" s="102"/>
      <c r="AN261" s="53">
        <f t="shared" si="128"/>
        <v>122.72</v>
      </c>
      <c r="AO261" s="53">
        <v>24.53</v>
      </c>
      <c r="AP261" s="102">
        <v>48271</v>
      </c>
      <c r="AQ261" s="102">
        <v>21.4</v>
      </c>
      <c r="AR261" s="102">
        <v>1083</v>
      </c>
      <c r="AS261" s="102">
        <v>0.6</v>
      </c>
      <c r="AT261" s="102"/>
      <c r="AU261" s="102"/>
      <c r="AV261" s="102"/>
      <c r="AW261" s="102"/>
      <c r="AX261" s="102"/>
      <c r="AY261" s="102"/>
      <c r="AZ261" s="102"/>
      <c r="BA261" s="102"/>
      <c r="BB261" s="102"/>
      <c r="BC261" s="102"/>
      <c r="BD261" s="102">
        <v>2456</v>
      </c>
      <c r="BE261" s="102">
        <v>1.4</v>
      </c>
      <c r="BF261" s="102">
        <v>3489</v>
      </c>
      <c r="BG261" s="102">
        <v>2</v>
      </c>
      <c r="BH261" s="102"/>
      <c r="BI261" s="102"/>
      <c r="BJ261" s="102"/>
      <c r="BK261" s="102"/>
      <c r="BL261" s="102"/>
      <c r="BM261" s="102"/>
      <c r="BN261" s="102"/>
      <c r="BO261" s="102"/>
      <c r="BP261" s="102"/>
      <c r="BQ261" s="102"/>
      <c r="BR261" s="102" t="s">
        <v>967</v>
      </c>
      <c r="BS261" s="54" t="s">
        <v>29</v>
      </c>
      <c r="BT261" s="45" t="str">
        <f t="shared" ref="BT261:BT292" si="134">IF(J261=I261, "No", IF(AJ261/AO261&lt;2, "Yes", "No"))</f>
        <v>No</v>
      </c>
      <c r="BU261" s="45" t="str">
        <f t="shared" ref="BU261:BU292" si="135">IF(J261=I261, "No", IF(AJ261/AO261&lt;1.5, "Yes", "No"))</f>
        <v>No</v>
      </c>
      <c r="BV261" s="45" t="str">
        <f t="shared" ref="BV261:BV292" si="136">IF(J261=I261, "No", IF((ABS(AJ261-AO261))&lt;(5/I261), "Yes", "No"))</f>
        <v>No</v>
      </c>
      <c r="BW261" s="55">
        <f t="shared" si="132"/>
        <v>84.519846095572262</v>
      </c>
      <c r="BX261" s="55">
        <f>(296772/(296772+54355))*100</f>
        <v>84.519846095572262</v>
      </c>
      <c r="BY261" s="55">
        <v>85.749846095572252</v>
      </c>
      <c r="BZ261" s="55">
        <f t="shared" si="131"/>
        <v>85.749846095572266</v>
      </c>
      <c r="CA261" s="45">
        <v>2004</v>
      </c>
      <c r="CB261" s="55">
        <f t="shared" ref="CB261:CB292" si="137">((AI261/I261)/DB261)*100</f>
        <v>29.995382642154766</v>
      </c>
      <c r="CC261" s="46" t="s">
        <v>490</v>
      </c>
      <c r="CD261" s="46" t="s">
        <v>71</v>
      </c>
      <c r="CE261" s="71" t="s">
        <v>783</v>
      </c>
      <c r="CF261" s="46">
        <v>1</v>
      </c>
      <c r="CG261" s="46" t="str">
        <f t="shared" si="129"/>
        <v>No</v>
      </c>
      <c r="CH261" s="46" t="s">
        <v>29</v>
      </c>
      <c r="CI261" s="56">
        <v>3400</v>
      </c>
      <c r="CJ261" s="46" t="s">
        <v>180</v>
      </c>
      <c r="CK261" s="79">
        <f>CI261*2</f>
        <v>6800</v>
      </c>
      <c r="CL261" s="49" t="s">
        <v>29</v>
      </c>
      <c r="CM261" s="50">
        <v>0</v>
      </c>
      <c r="CN261" s="50"/>
      <c r="CO261" s="50"/>
      <c r="CP261" s="46" t="s">
        <v>23</v>
      </c>
      <c r="CQ261" s="46" t="s">
        <v>23</v>
      </c>
      <c r="CR261" s="46">
        <v>11</v>
      </c>
      <c r="CS261" s="46" t="s">
        <v>855</v>
      </c>
      <c r="CT261" s="46" t="s">
        <v>963</v>
      </c>
      <c r="CU261" s="46" t="s">
        <v>213</v>
      </c>
      <c r="CV261" s="46">
        <v>0</v>
      </c>
      <c r="CW261" s="46">
        <v>1</v>
      </c>
      <c r="CX261" s="49" t="s">
        <v>922</v>
      </c>
      <c r="CY261" s="49" t="s">
        <v>915</v>
      </c>
      <c r="CZ261" s="49">
        <v>0</v>
      </c>
      <c r="DA261" s="49">
        <v>1</v>
      </c>
      <c r="DB261" s="57">
        <v>584750</v>
      </c>
      <c r="DC261" s="58">
        <v>48.78</v>
      </c>
      <c r="DD261" s="58">
        <v>6.5699999999999994</v>
      </c>
      <c r="DE261" s="58">
        <v>10.93</v>
      </c>
      <c r="DF261" s="58">
        <v>30.69</v>
      </c>
      <c r="DG261" s="58">
        <v>3.0299999999999994</v>
      </c>
      <c r="DH261" s="58">
        <v>51.22</v>
      </c>
      <c r="DI261" s="45" t="s">
        <v>35</v>
      </c>
      <c r="DJ261" s="59" t="str">
        <f t="shared" si="133"/>
        <v>No single majority group</v>
      </c>
      <c r="DK261" s="60">
        <v>584750</v>
      </c>
      <c r="DL261" s="58">
        <v>48.78</v>
      </c>
      <c r="DM261" s="58">
        <v>6.5699999999999994</v>
      </c>
      <c r="DN261" s="58">
        <v>10.93</v>
      </c>
      <c r="DO261" s="58">
        <v>51.22</v>
      </c>
      <c r="DP261" s="66">
        <v>48.35</v>
      </c>
      <c r="DQ261" s="67">
        <v>77287.320000000007</v>
      </c>
      <c r="DR261" s="53">
        <v>11.5</v>
      </c>
      <c r="DS261" s="58">
        <v>78.099999999999994</v>
      </c>
      <c r="DT261" s="53">
        <v>37.200000000000003</v>
      </c>
      <c r="DU261" s="55">
        <v>2.41</v>
      </c>
      <c r="DV261" s="50">
        <v>38.200000000000003</v>
      </c>
      <c r="DW261" s="53">
        <v>85.6</v>
      </c>
      <c r="DX261" s="53">
        <v>88.55</v>
      </c>
      <c r="DY261" s="53">
        <v>43.3553</v>
      </c>
      <c r="DZ261" s="63"/>
    </row>
    <row r="262" spans="1:130" s="5" customFormat="1" ht="14.25" customHeight="1">
      <c r="A262" s="45">
        <v>1228</v>
      </c>
      <c r="B262" s="46" t="s">
        <v>210</v>
      </c>
      <c r="C262" s="46">
        <v>2006</v>
      </c>
      <c r="D262" s="46" t="s">
        <v>211</v>
      </c>
      <c r="E262" s="46" t="s">
        <v>22</v>
      </c>
      <c r="F262" s="46">
        <v>4</v>
      </c>
      <c r="G262" s="48">
        <v>180000</v>
      </c>
      <c r="H262" s="46" t="s">
        <v>249</v>
      </c>
      <c r="I262" s="46">
        <v>1</v>
      </c>
      <c r="J262" s="46">
        <v>1</v>
      </c>
      <c r="K262" s="49" t="s">
        <v>246</v>
      </c>
      <c r="L262" s="49" t="s">
        <v>30</v>
      </c>
      <c r="M262" s="49" t="s">
        <v>29</v>
      </c>
      <c r="N262" s="49" t="s">
        <v>513</v>
      </c>
      <c r="O262" s="49"/>
      <c r="P262" s="49" t="s">
        <v>34</v>
      </c>
      <c r="Q262" s="49" t="s">
        <v>35</v>
      </c>
      <c r="R262" s="49">
        <v>0</v>
      </c>
      <c r="S262" s="50">
        <f t="shared" si="124"/>
        <v>0</v>
      </c>
      <c r="T262" s="49">
        <v>1</v>
      </c>
      <c r="U262" s="50">
        <f t="shared" si="125"/>
        <v>100</v>
      </c>
      <c r="V262" s="49" t="s">
        <v>173</v>
      </c>
      <c r="W262" s="49">
        <v>0</v>
      </c>
      <c r="X262" s="50">
        <f t="shared" si="126"/>
        <v>0</v>
      </c>
      <c r="Y262" s="51" t="str">
        <f t="shared" si="127"/>
        <v>No</v>
      </c>
      <c r="Z262" s="49" t="s">
        <v>29</v>
      </c>
      <c r="AA262" s="49" t="s">
        <v>35</v>
      </c>
      <c r="AB262" s="49" t="s">
        <v>29</v>
      </c>
      <c r="AC262" s="46" t="s">
        <v>72</v>
      </c>
      <c r="AD262" s="46" t="s">
        <v>27</v>
      </c>
      <c r="AE262" s="46" t="s">
        <v>73</v>
      </c>
      <c r="AF262" s="46" t="s">
        <v>29</v>
      </c>
      <c r="AG262" s="103">
        <v>253719</v>
      </c>
      <c r="AH262" s="52">
        <v>186828</v>
      </c>
      <c r="AI262" s="52">
        <v>186828</v>
      </c>
      <c r="AJ262" s="102">
        <v>98.56</v>
      </c>
      <c r="AK262" s="104">
        <v>197.12</v>
      </c>
      <c r="AL262" s="102">
        <v>98.56</v>
      </c>
      <c r="AM262" s="102"/>
      <c r="AN262" s="53">
        <f t="shared" si="128"/>
        <v>197.12</v>
      </c>
      <c r="AO262" s="53" t="s">
        <v>23</v>
      </c>
      <c r="AP262" s="102">
        <v>66891</v>
      </c>
      <c r="AQ262" s="102">
        <v>26.36420607049531</v>
      </c>
      <c r="AR262" s="102"/>
      <c r="AS262" s="102"/>
      <c r="AT262" s="102"/>
      <c r="AU262" s="102"/>
      <c r="AV262" s="102"/>
      <c r="AW262" s="102"/>
      <c r="AX262" s="102"/>
      <c r="AY262" s="102"/>
      <c r="AZ262" s="102"/>
      <c r="BA262" s="102"/>
      <c r="BB262" s="102"/>
      <c r="BC262" s="102"/>
      <c r="BD262" s="102"/>
      <c r="BE262" s="102"/>
      <c r="BF262" s="102"/>
      <c r="BG262" s="102"/>
      <c r="BH262" s="102"/>
      <c r="BI262" s="102"/>
      <c r="BJ262" s="102"/>
      <c r="BK262" s="102"/>
      <c r="BL262" s="102"/>
      <c r="BM262" s="102"/>
      <c r="BN262" s="102"/>
      <c r="BO262" s="102"/>
      <c r="BP262" s="102"/>
      <c r="BQ262" s="102"/>
      <c r="BR262" s="102"/>
      <c r="BS262" s="54" t="s">
        <v>23</v>
      </c>
      <c r="BT262" s="45" t="str">
        <f t="shared" si="134"/>
        <v>No</v>
      </c>
      <c r="BU262" s="45" t="str">
        <f t="shared" si="135"/>
        <v>No</v>
      </c>
      <c r="BV262" s="45" t="str">
        <f t="shared" si="136"/>
        <v>No</v>
      </c>
      <c r="BW262" s="55">
        <f t="shared" si="132"/>
        <v>84.519846095572262</v>
      </c>
      <c r="BX262" s="55">
        <f>(296772/(296772+54355))*100</f>
        <v>84.519846095572262</v>
      </c>
      <c r="BY262" s="55">
        <v>85.749846095572252</v>
      </c>
      <c r="BZ262" s="55">
        <f t="shared" si="131"/>
        <v>85.749846095572266</v>
      </c>
      <c r="CA262" s="45">
        <v>2004</v>
      </c>
      <c r="CB262" s="55">
        <f t="shared" si="137"/>
        <v>31.950064129970073</v>
      </c>
      <c r="CC262" s="46" t="s">
        <v>490</v>
      </c>
      <c r="CD262" s="46" t="s">
        <v>71</v>
      </c>
      <c r="CE262" s="71" t="s">
        <v>783</v>
      </c>
      <c r="CF262" s="46">
        <v>1</v>
      </c>
      <c r="CG262" s="46" t="str">
        <f t="shared" si="129"/>
        <v>No</v>
      </c>
      <c r="CH262" s="46" t="s">
        <v>29</v>
      </c>
      <c r="CI262" s="56">
        <v>3200</v>
      </c>
      <c r="CJ262" s="46" t="s">
        <v>180</v>
      </c>
      <c r="CK262" s="79">
        <f>CI262*2</f>
        <v>6400</v>
      </c>
      <c r="CL262" s="49" t="s">
        <v>29</v>
      </c>
      <c r="CM262" s="50">
        <v>0</v>
      </c>
      <c r="CN262" s="50"/>
      <c r="CO262" s="50"/>
      <c r="CP262" s="46" t="s">
        <v>23</v>
      </c>
      <c r="CQ262" s="46" t="s">
        <v>23</v>
      </c>
      <c r="CR262" s="46">
        <v>11</v>
      </c>
      <c r="CS262" s="46" t="s">
        <v>855</v>
      </c>
      <c r="CT262" s="46" t="s">
        <v>963</v>
      </c>
      <c r="CU262" s="46" t="s">
        <v>213</v>
      </c>
      <c r="CV262" s="46" t="s">
        <v>23</v>
      </c>
      <c r="CW262" s="46">
        <v>2</v>
      </c>
      <c r="CX262" s="49" t="s">
        <v>922</v>
      </c>
      <c r="CY262" s="49" t="s">
        <v>223</v>
      </c>
      <c r="CZ262" s="49">
        <v>0</v>
      </c>
      <c r="DA262" s="49">
        <v>0</v>
      </c>
      <c r="DB262" s="57">
        <v>584750</v>
      </c>
      <c r="DC262" s="58">
        <v>48.78</v>
      </c>
      <c r="DD262" s="58">
        <v>6.5699999999999994</v>
      </c>
      <c r="DE262" s="58">
        <v>10.93</v>
      </c>
      <c r="DF262" s="58">
        <v>30.69</v>
      </c>
      <c r="DG262" s="58">
        <v>3.0299999999999994</v>
      </c>
      <c r="DH262" s="58">
        <v>51.22</v>
      </c>
      <c r="DI262" s="45" t="s">
        <v>35</v>
      </c>
      <c r="DJ262" s="59" t="str">
        <f t="shared" si="133"/>
        <v>No single majority group</v>
      </c>
      <c r="DK262" s="60">
        <v>584750</v>
      </c>
      <c r="DL262" s="58">
        <v>48.78</v>
      </c>
      <c r="DM262" s="58">
        <v>6.5699999999999994</v>
      </c>
      <c r="DN262" s="58">
        <v>10.93</v>
      </c>
      <c r="DO262" s="58">
        <v>51.22</v>
      </c>
      <c r="DP262" s="66">
        <v>48.35</v>
      </c>
      <c r="DQ262" s="67">
        <v>77287.320000000007</v>
      </c>
      <c r="DR262" s="53">
        <v>11.5</v>
      </c>
      <c r="DS262" s="58">
        <v>78.099999999999994</v>
      </c>
      <c r="DT262" s="53">
        <v>37.200000000000003</v>
      </c>
      <c r="DU262" s="55">
        <v>2.41</v>
      </c>
      <c r="DV262" s="50">
        <v>38.200000000000003</v>
      </c>
      <c r="DW262" s="53">
        <v>85.6</v>
      </c>
      <c r="DX262" s="53">
        <v>88.55</v>
      </c>
      <c r="DY262" s="53">
        <v>43.3553</v>
      </c>
      <c r="DZ262" s="63"/>
    </row>
    <row r="263" spans="1:130" s="5" customFormat="1" ht="14.25" customHeight="1">
      <c r="A263" s="45">
        <v>1230</v>
      </c>
      <c r="B263" s="46" t="s">
        <v>210</v>
      </c>
      <c r="C263" s="46">
        <v>2006</v>
      </c>
      <c r="D263" s="46" t="s">
        <v>219</v>
      </c>
      <c r="E263" s="71" t="s">
        <v>92</v>
      </c>
      <c r="F263" s="46">
        <v>4</v>
      </c>
      <c r="G263" s="48">
        <v>108000</v>
      </c>
      <c r="H263" s="46" t="s">
        <v>249</v>
      </c>
      <c r="I263" s="46">
        <v>1</v>
      </c>
      <c r="J263" s="46">
        <v>2</v>
      </c>
      <c r="K263" s="49" t="s">
        <v>254</v>
      </c>
      <c r="L263" s="49" t="s">
        <v>40</v>
      </c>
      <c r="M263" s="49" t="s">
        <v>35</v>
      </c>
      <c r="N263" s="49" t="s">
        <v>513</v>
      </c>
      <c r="O263" s="49"/>
      <c r="P263" s="49" t="s">
        <v>174</v>
      </c>
      <c r="Q263" s="49" t="s">
        <v>29</v>
      </c>
      <c r="R263" s="49">
        <v>2</v>
      </c>
      <c r="S263" s="50">
        <f t="shared" si="124"/>
        <v>100</v>
      </c>
      <c r="T263" s="49" t="str">
        <f>LEFT(V263, 1)</f>
        <v>1</v>
      </c>
      <c r="U263" s="50">
        <f t="shared" si="125"/>
        <v>50</v>
      </c>
      <c r="V263" s="49" t="s">
        <v>173</v>
      </c>
      <c r="W263" s="49">
        <v>1</v>
      </c>
      <c r="X263" s="50">
        <f t="shared" si="126"/>
        <v>50</v>
      </c>
      <c r="Y263" s="51" t="str">
        <f t="shared" si="127"/>
        <v>No</v>
      </c>
      <c r="Z263" s="49" t="s">
        <v>29</v>
      </c>
      <c r="AA263" s="49" t="s">
        <v>29</v>
      </c>
      <c r="AB263" s="49" t="s">
        <v>29</v>
      </c>
      <c r="AC263" s="46" t="s">
        <v>72</v>
      </c>
      <c r="AD263" s="46" t="s">
        <v>27</v>
      </c>
      <c r="AE263" s="46" t="s">
        <v>73</v>
      </c>
      <c r="AF263" s="46" t="s">
        <v>29</v>
      </c>
      <c r="AG263" s="103">
        <v>26186</v>
      </c>
      <c r="AH263" s="52">
        <v>20458</v>
      </c>
      <c r="AI263" s="52">
        <v>20458</v>
      </c>
      <c r="AJ263" s="102">
        <v>80.13</v>
      </c>
      <c r="AK263" s="104">
        <v>160.26</v>
      </c>
      <c r="AL263" s="102">
        <v>80.13</v>
      </c>
      <c r="AM263" s="102"/>
      <c r="AN263" s="53">
        <f t="shared" si="128"/>
        <v>160.26</v>
      </c>
      <c r="AO263" s="53">
        <v>16.39</v>
      </c>
      <c r="AP263" s="102">
        <v>5248</v>
      </c>
      <c r="AQ263" s="102">
        <v>20</v>
      </c>
      <c r="AR263" s="102">
        <v>49</v>
      </c>
      <c r="AS263" s="102">
        <v>0.2</v>
      </c>
      <c r="AT263" s="102"/>
      <c r="AU263" s="102"/>
      <c r="AV263" s="102"/>
      <c r="AW263" s="102"/>
      <c r="AX263" s="102"/>
      <c r="AY263" s="102"/>
      <c r="AZ263" s="102"/>
      <c r="BA263" s="102"/>
      <c r="BB263" s="102"/>
      <c r="BC263" s="102"/>
      <c r="BD263" s="102">
        <v>767</v>
      </c>
      <c r="BE263" s="102">
        <v>3.7</v>
      </c>
      <c r="BF263" s="102">
        <v>815</v>
      </c>
      <c r="BG263" s="102">
        <v>3.9</v>
      </c>
      <c r="BH263" s="102"/>
      <c r="BI263" s="102"/>
      <c r="BJ263" s="102"/>
      <c r="BK263" s="102"/>
      <c r="BL263" s="102"/>
      <c r="BM263" s="102"/>
      <c r="BN263" s="102"/>
      <c r="BO263" s="102"/>
      <c r="BP263" s="102"/>
      <c r="BQ263" s="102"/>
      <c r="BR263" s="102" t="s">
        <v>967</v>
      </c>
      <c r="BS263" s="54" t="s">
        <v>29</v>
      </c>
      <c r="BT263" s="45" t="str">
        <f t="shared" si="134"/>
        <v>No</v>
      </c>
      <c r="BU263" s="45" t="str">
        <f t="shared" si="135"/>
        <v>No</v>
      </c>
      <c r="BV263" s="45" t="str">
        <f t="shared" si="136"/>
        <v>No</v>
      </c>
      <c r="BW263" s="55">
        <f t="shared" si="132"/>
        <v>84.519846095572262</v>
      </c>
      <c r="BX263" s="55">
        <v>74.951125369692718</v>
      </c>
      <c r="BY263" s="55">
        <v>85.749846095572252</v>
      </c>
      <c r="BZ263" s="55">
        <f t="shared" si="131"/>
        <v>76.181125369692722</v>
      </c>
      <c r="CA263" s="45">
        <v>2004</v>
      </c>
      <c r="CB263" s="55">
        <f t="shared" si="137"/>
        <v>35.685255280922398</v>
      </c>
      <c r="CC263" s="46" t="s">
        <v>490</v>
      </c>
      <c r="CD263" s="46" t="s">
        <v>71</v>
      </c>
      <c r="CE263" s="71" t="s">
        <v>783</v>
      </c>
      <c r="CF263" s="46">
        <v>1</v>
      </c>
      <c r="CG263" s="46" t="str">
        <f t="shared" si="129"/>
        <v>No</v>
      </c>
      <c r="CH263" s="46" t="s">
        <v>35</v>
      </c>
      <c r="CI263" s="56">
        <v>500</v>
      </c>
      <c r="CJ263" s="46" t="s">
        <v>180</v>
      </c>
      <c r="CK263" s="79">
        <v>1000</v>
      </c>
      <c r="CL263" s="49" t="s">
        <v>35</v>
      </c>
      <c r="CM263" s="50">
        <v>0</v>
      </c>
      <c r="CN263" s="50"/>
      <c r="CO263" s="50"/>
      <c r="CP263" s="46" t="s">
        <v>23</v>
      </c>
      <c r="CQ263" s="46" t="s">
        <v>24</v>
      </c>
      <c r="CR263" s="46">
        <v>11</v>
      </c>
      <c r="CS263" s="46" t="s">
        <v>855</v>
      </c>
      <c r="CT263" s="46" t="s">
        <v>856</v>
      </c>
      <c r="CU263" s="46" t="s">
        <v>213</v>
      </c>
      <c r="CV263" s="46">
        <v>0</v>
      </c>
      <c r="CW263" s="46">
        <v>1</v>
      </c>
      <c r="CX263" s="49" t="s">
        <v>922</v>
      </c>
      <c r="CY263" s="49" t="s">
        <v>223</v>
      </c>
      <c r="CZ263" s="49">
        <v>0</v>
      </c>
      <c r="DA263" s="49">
        <v>0</v>
      </c>
      <c r="DB263" s="64">
        <v>57329</v>
      </c>
      <c r="DC263" s="58">
        <v>74.52</v>
      </c>
      <c r="DD263" s="58">
        <v>3.16</v>
      </c>
      <c r="DE263" s="58">
        <v>5.65</v>
      </c>
      <c r="DF263" s="58">
        <v>14.360000000000001</v>
      </c>
      <c r="DG263" s="58">
        <v>2.2999999999999998</v>
      </c>
      <c r="DH263" s="58">
        <v>25.480000000000004</v>
      </c>
      <c r="DI263" s="45" t="s">
        <v>29</v>
      </c>
      <c r="DJ263" s="59" t="str">
        <f t="shared" si="133"/>
        <v>N/A</v>
      </c>
      <c r="DK263" s="65">
        <v>57329</v>
      </c>
      <c r="DL263" s="58">
        <v>74.52</v>
      </c>
      <c r="DM263" s="58">
        <v>3.16</v>
      </c>
      <c r="DN263" s="58">
        <v>5.65</v>
      </c>
      <c r="DO263" s="58">
        <v>25.480000000000004</v>
      </c>
      <c r="DP263" s="66">
        <v>48.35</v>
      </c>
      <c r="DQ263" s="67">
        <v>77287.320000000007</v>
      </c>
      <c r="DR263" s="53">
        <v>11.5</v>
      </c>
      <c r="DS263" s="58">
        <v>78.099999999999994</v>
      </c>
      <c r="DT263" s="53">
        <v>37.200000000000003</v>
      </c>
      <c r="DU263" s="55">
        <v>2.41</v>
      </c>
      <c r="DV263" s="50">
        <v>38.200000000000003</v>
      </c>
      <c r="DW263" s="53">
        <v>85.6</v>
      </c>
      <c r="DX263" s="53">
        <v>88.55</v>
      </c>
      <c r="DY263" s="53">
        <v>43.3553</v>
      </c>
      <c r="DZ263" s="63"/>
    </row>
    <row r="264" spans="1:130" s="5" customFormat="1" ht="14.25" customHeight="1">
      <c r="A264" s="45">
        <v>1231</v>
      </c>
      <c r="B264" s="46" t="s">
        <v>210</v>
      </c>
      <c r="C264" s="46">
        <v>2006</v>
      </c>
      <c r="D264" s="46" t="s">
        <v>219</v>
      </c>
      <c r="E264" s="71" t="s">
        <v>80</v>
      </c>
      <c r="F264" s="46">
        <v>4</v>
      </c>
      <c r="G264" s="48">
        <v>108000</v>
      </c>
      <c r="H264" s="46" t="s">
        <v>249</v>
      </c>
      <c r="I264" s="46">
        <v>1</v>
      </c>
      <c r="J264" s="46">
        <v>6</v>
      </c>
      <c r="K264" s="49" t="s">
        <v>255</v>
      </c>
      <c r="L264" s="49" t="s">
        <v>30</v>
      </c>
      <c r="M264" s="49" t="s">
        <v>29</v>
      </c>
      <c r="N264" s="49" t="s">
        <v>512</v>
      </c>
      <c r="O264" s="49"/>
      <c r="P264" s="49" t="s">
        <v>34</v>
      </c>
      <c r="Q264" s="49" t="s">
        <v>35</v>
      </c>
      <c r="R264" s="49">
        <v>1</v>
      </c>
      <c r="S264" s="50">
        <f t="shared" si="124"/>
        <v>16.666666666666664</v>
      </c>
      <c r="T264" s="49">
        <v>5</v>
      </c>
      <c r="U264" s="50">
        <f t="shared" si="125"/>
        <v>83.333333333333343</v>
      </c>
      <c r="V264" s="49" t="s">
        <v>896</v>
      </c>
      <c r="W264" s="49">
        <v>1</v>
      </c>
      <c r="X264" s="50">
        <f t="shared" si="126"/>
        <v>16.666666666666664</v>
      </c>
      <c r="Y264" s="51" t="str">
        <f t="shared" si="127"/>
        <v>No</v>
      </c>
      <c r="Z264" s="49" t="s">
        <v>35</v>
      </c>
      <c r="AA264" s="49" t="s">
        <v>23</v>
      </c>
      <c r="AB264" s="49" t="s">
        <v>23</v>
      </c>
      <c r="AC264" s="46" t="s">
        <v>114</v>
      </c>
      <c r="AD264" s="46" t="s">
        <v>27</v>
      </c>
      <c r="AE264" s="46" t="s">
        <v>73</v>
      </c>
      <c r="AF264" s="46" t="s">
        <v>29</v>
      </c>
      <c r="AG264" s="103">
        <v>21985</v>
      </c>
      <c r="AH264" s="52">
        <v>19539</v>
      </c>
      <c r="AI264" s="52">
        <v>19539</v>
      </c>
      <c r="AJ264" s="102">
        <v>26.23</v>
      </c>
      <c r="AK264" s="104">
        <v>52.46</v>
      </c>
      <c r="AL264" s="102">
        <v>52.51</v>
      </c>
      <c r="AM264" s="102"/>
      <c r="AN264" s="53">
        <f t="shared" si="128"/>
        <v>105.02</v>
      </c>
      <c r="AO264" s="53">
        <v>25.96</v>
      </c>
      <c r="AP264" s="102">
        <v>1970</v>
      </c>
      <c r="AQ264" s="102">
        <v>9</v>
      </c>
      <c r="AR264" s="102">
        <v>301</v>
      </c>
      <c r="AS264" s="102">
        <v>1.5</v>
      </c>
      <c r="AT264" s="102"/>
      <c r="AU264" s="102"/>
      <c r="AV264" s="102">
        <v>42</v>
      </c>
      <c r="AW264" s="102">
        <v>0.2</v>
      </c>
      <c r="AX264" s="102"/>
      <c r="AY264" s="102"/>
      <c r="AZ264" s="102"/>
      <c r="BA264" s="102"/>
      <c r="BB264" s="102"/>
      <c r="BC264" s="102"/>
      <c r="BD264" s="102">
        <v>512</v>
      </c>
      <c r="BE264" s="102">
        <v>2.6</v>
      </c>
      <c r="BF264" s="102">
        <v>794</v>
      </c>
      <c r="BG264" s="102">
        <v>4</v>
      </c>
      <c r="BH264" s="102">
        <v>3839</v>
      </c>
      <c r="BI264" s="102">
        <v>19.38</v>
      </c>
      <c r="BJ264" s="102">
        <v>827</v>
      </c>
      <c r="BK264" s="102">
        <v>4.2</v>
      </c>
      <c r="BL264" s="102">
        <v>2970</v>
      </c>
      <c r="BM264" s="102">
        <v>15</v>
      </c>
      <c r="BN264" s="102"/>
      <c r="BO264" s="102"/>
      <c r="BP264" s="102"/>
      <c r="BQ264" s="102"/>
      <c r="BR264" s="102" t="s">
        <v>967</v>
      </c>
      <c r="BS264" s="54" t="s">
        <v>29</v>
      </c>
      <c r="BT264" s="45" t="str">
        <f t="shared" si="134"/>
        <v>Yes</v>
      </c>
      <c r="BU264" s="45" t="str">
        <f t="shared" si="135"/>
        <v>Yes</v>
      </c>
      <c r="BV264" s="45" t="str">
        <f t="shared" si="136"/>
        <v>Yes</v>
      </c>
      <c r="BW264" s="55">
        <f t="shared" si="132"/>
        <v>84.519846095572262</v>
      </c>
      <c r="BX264" s="55">
        <v>78.812866294125655</v>
      </c>
      <c r="BY264" s="55">
        <v>85.749846095572252</v>
      </c>
      <c r="BZ264" s="55">
        <f t="shared" si="131"/>
        <v>80.042866294125659</v>
      </c>
      <c r="CA264" s="45">
        <v>2004</v>
      </c>
      <c r="CB264" s="55">
        <f t="shared" si="137"/>
        <v>36.81741096664782</v>
      </c>
      <c r="CC264" s="46" t="s">
        <v>490</v>
      </c>
      <c r="CD264" s="46" t="s">
        <v>71</v>
      </c>
      <c r="CE264" s="71" t="s">
        <v>783</v>
      </c>
      <c r="CF264" s="46">
        <v>1</v>
      </c>
      <c r="CG264" s="46" t="str">
        <f t="shared" si="129"/>
        <v>No</v>
      </c>
      <c r="CH264" s="46" t="s">
        <v>35</v>
      </c>
      <c r="CI264" s="56">
        <v>500</v>
      </c>
      <c r="CJ264" s="46" t="s">
        <v>180</v>
      </c>
      <c r="CK264" s="79">
        <v>1000</v>
      </c>
      <c r="CL264" s="49" t="s">
        <v>35</v>
      </c>
      <c r="CM264" s="50">
        <f>(2/6)*100</f>
        <v>33.333333333333329</v>
      </c>
      <c r="CN264" s="50"/>
      <c r="CO264" s="50"/>
      <c r="CP264" s="46" t="s">
        <v>23</v>
      </c>
      <c r="CQ264" s="46" t="s">
        <v>24</v>
      </c>
      <c r="CR264" s="46">
        <v>11</v>
      </c>
      <c r="CS264" s="46" t="s">
        <v>855</v>
      </c>
      <c r="CT264" s="46" t="s">
        <v>856</v>
      </c>
      <c r="CU264" s="46" t="s">
        <v>213</v>
      </c>
      <c r="CV264" s="46">
        <v>0</v>
      </c>
      <c r="CW264" s="46">
        <v>1</v>
      </c>
      <c r="CX264" s="49" t="s">
        <v>922</v>
      </c>
      <c r="CY264" s="49" t="s">
        <v>223</v>
      </c>
      <c r="CZ264" s="49">
        <v>0</v>
      </c>
      <c r="DA264" s="49">
        <v>0</v>
      </c>
      <c r="DB264" s="64">
        <v>53070</v>
      </c>
      <c r="DC264" s="58">
        <v>39.04</v>
      </c>
      <c r="DD264" s="58">
        <v>0.97</v>
      </c>
      <c r="DE264" s="58">
        <v>4.54</v>
      </c>
      <c r="DF264" s="58">
        <v>53.13</v>
      </c>
      <c r="DG264" s="58">
        <v>2.2999999999999998</v>
      </c>
      <c r="DH264" s="58">
        <v>60.959999999999994</v>
      </c>
      <c r="DI264" s="45" t="s">
        <v>35</v>
      </c>
      <c r="DJ264" s="59" t="str">
        <f t="shared" si="133"/>
        <v>Asian</v>
      </c>
      <c r="DK264" s="65">
        <v>53070</v>
      </c>
      <c r="DL264" s="58">
        <v>39.04</v>
      </c>
      <c r="DM264" s="58">
        <v>0.97</v>
      </c>
      <c r="DN264" s="58">
        <v>4.54</v>
      </c>
      <c r="DO264" s="58">
        <v>60.959999999999994</v>
      </c>
      <c r="DP264" s="66">
        <v>48.35</v>
      </c>
      <c r="DQ264" s="67">
        <v>77287.320000000007</v>
      </c>
      <c r="DR264" s="53">
        <v>11.5</v>
      </c>
      <c r="DS264" s="58">
        <v>78.099999999999994</v>
      </c>
      <c r="DT264" s="53">
        <v>37.200000000000003</v>
      </c>
      <c r="DU264" s="55">
        <v>2.41</v>
      </c>
      <c r="DV264" s="50">
        <v>38.200000000000003</v>
      </c>
      <c r="DW264" s="53">
        <v>85.6</v>
      </c>
      <c r="DX264" s="53">
        <v>88.55</v>
      </c>
      <c r="DY264" s="53">
        <v>43.3553</v>
      </c>
      <c r="DZ264" s="63"/>
    </row>
    <row r="265" spans="1:130" s="5" customFormat="1" ht="14.25" customHeight="1">
      <c r="A265" s="45">
        <v>1232</v>
      </c>
      <c r="B265" s="46" t="s">
        <v>210</v>
      </c>
      <c r="C265" s="46">
        <v>2006</v>
      </c>
      <c r="D265" s="46" t="s">
        <v>219</v>
      </c>
      <c r="E265" s="71" t="s">
        <v>101</v>
      </c>
      <c r="F265" s="46">
        <v>4</v>
      </c>
      <c r="G265" s="48">
        <v>108000</v>
      </c>
      <c r="H265" s="46" t="s">
        <v>249</v>
      </c>
      <c r="I265" s="46">
        <v>1</v>
      </c>
      <c r="J265" s="46">
        <v>8</v>
      </c>
      <c r="K265" s="49" t="s">
        <v>256</v>
      </c>
      <c r="L265" s="49" t="s">
        <v>30</v>
      </c>
      <c r="M265" s="49" t="s">
        <v>29</v>
      </c>
      <c r="N265" s="49" t="s">
        <v>513</v>
      </c>
      <c r="O265" s="49"/>
      <c r="P265" s="49" t="s">
        <v>174</v>
      </c>
      <c r="Q265" s="49" t="s">
        <v>29</v>
      </c>
      <c r="R265" s="49">
        <v>0</v>
      </c>
      <c r="S265" s="50">
        <f t="shared" si="124"/>
        <v>0</v>
      </c>
      <c r="T265" s="49" t="str">
        <f>LEFT(V265,2)</f>
        <v xml:space="preserve">1 </v>
      </c>
      <c r="U265" s="50">
        <f t="shared" si="125"/>
        <v>12.5</v>
      </c>
      <c r="V265" s="49" t="s">
        <v>858</v>
      </c>
      <c r="W265" s="49">
        <v>0</v>
      </c>
      <c r="X265" s="50">
        <f t="shared" si="126"/>
        <v>0</v>
      </c>
      <c r="Y265" s="51" t="str">
        <f t="shared" si="127"/>
        <v>No</v>
      </c>
      <c r="Z265" s="49" t="s">
        <v>29</v>
      </c>
      <c r="AA265" s="49" t="s">
        <v>29</v>
      </c>
      <c r="AB265" s="49" t="s">
        <v>29</v>
      </c>
      <c r="AC265" s="46" t="s">
        <v>132</v>
      </c>
      <c r="AD265" s="46" t="s">
        <v>27</v>
      </c>
      <c r="AE265" s="46" t="s">
        <v>73</v>
      </c>
      <c r="AF265" s="46" t="s">
        <v>29</v>
      </c>
      <c r="AG265" s="120">
        <v>19915</v>
      </c>
      <c r="AH265" s="52">
        <v>17728</v>
      </c>
      <c r="AI265" s="52">
        <v>17728</v>
      </c>
      <c r="AJ265" s="102">
        <v>48.82</v>
      </c>
      <c r="AK265" s="104">
        <v>97.64</v>
      </c>
      <c r="AL265" s="102">
        <v>50.82</v>
      </c>
      <c r="AM265" s="102"/>
      <c r="AN265" s="53">
        <f t="shared" si="128"/>
        <v>101.64</v>
      </c>
      <c r="AO265" s="53">
        <v>39.770000000000003</v>
      </c>
      <c r="AP265" s="102">
        <v>1809</v>
      </c>
      <c r="AQ265" s="102">
        <v>9.1</v>
      </c>
      <c r="AR265" s="102">
        <v>258</v>
      </c>
      <c r="AS265" s="102">
        <v>1.4</v>
      </c>
      <c r="AT265" s="102"/>
      <c r="AU265" s="102"/>
      <c r="AV265" s="102">
        <v>7</v>
      </c>
      <c r="AW265" s="102">
        <v>0</v>
      </c>
      <c r="AX265" s="102"/>
      <c r="AY265" s="102"/>
      <c r="AZ265" s="102"/>
      <c r="BA265" s="102"/>
      <c r="BB265" s="102"/>
      <c r="BC265" s="102"/>
      <c r="BD265" s="102">
        <v>456</v>
      </c>
      <c r="BE265" s="102">
        <v>2.5</v>
      </c>
      <c r="BF265" s="102">
        <v>698</v>
      </c>
      <c r="BG265" s="102">
        <v>3.9</v>
      </c>
      <c r="BH265" s="102">
        <v>455</v>
      </c>
      <c r="BI265" s="102">
        <v>2.54</v>
      </c>
      <c r="BJ265" s="102">
        <v>34</v>
      </c>
      <c r="BK265" s="102">
        <v>0.2</v>
      </c>
      <c r="BL265" s="102">
        <v>254</v>
      </c>
      <c r="BM265" s="102">
        <v>1.4</v>
      </c>
      <c r="BN265" s="102"/>
      <c r="BO265" s="102"/>
      <c r="BP265" s="102"/>
      <c r="BQ265" s="102"/>
      <c r="BR265" s="102" t="s">
        <v>967</v>
      </c>
      <c r="BS265" s="54" t="s">
        <v>29</v>
      </c>
      <c r="BT265" s="45" t="str">
        <f t="shared" si="134"/>
        <v>Yes</v>
      </c>
      <c r="BU265" s="45" t="str">
        <f t="shared" si="135"/>
        <v>Yes</v>
      </c>
      <c r="BV265" s="45" t="str">
        <f t="shared" si="136"/>
        <v>No</v>
      </c>
      <c r="BW265" s="55">
        <f t="shared" si="132"/>
        <v>84.519846095572262</v>
      </c>
      <c r="BX265" s="55">
        <v>85.767166389043126</v>
      </c>
      <c r="BY265" s="55">
        <v>85.749846095572252</v>
      </c>
      <c r="BZ265" s="55">
        <f t="shared" si="131"/>
        <v>86.99716638904313</v>
      </c>
      <c r="CA265" s="45">
        <v>2004</v>
      </c>
      <c r="CB265" s="55">
        <f t="shared" si="137"/>
        <v>32.271453016346889</v>
      </c>
      <c r="CC265" s="46" t="s">
        <v>490</v>
      </c>
      <c r="CD265" s="46" t="s">
        <v>71</v>
      </c>
      <c r="CE265" s="71" t="s">
        <v>783</v>
      </c>
      <c r="CF265" s="46">
        <v>1</v>
      </c>
      <c r="CG265" s="46" t="str">
        <f t="shared" si="129"/>
        <v>No</v>
      </c>
      <c r="CH265" s="46" t="s">
        <v>35</v>
      </c>
      <c r="CI265" s="56">
        <v>500</v>
      </c>
      <c r="CJ265" s="46" t="s">
        <v>180</v>
      </c>
      <c r="CK265" s="79">
        <v>1000</v>
      </c>
      <c r="CL265" s="49" t="s">
        <v>35</v>
      </c>
      <c r="CM265" s="102">
        <f>(2/8)*100</f>
        <v>25</v>
      </c>
      <c r="CN265" s="102"/>
      <c r="CO265" s="102"/>
      <c r="CP265" s="46" t="s">
        <v>23</v>
      </c>
      <c r="CQ265" s="46" t="s">
        <v>24</v>
      </c>
      <c r="CR265" s="46">
        <v>11</v>
      </c>
      <c r="CS265" s="46" t="s">
        <v>855</v>
      </c>
      <c r="CT265" s="46" t="s">
        <v>856</v>
      </c>
      <c r="CU265" s="46" t="s">
        <v>213</v>
      </c>
      <c r="CV265" s="46">
        <v>0</v>
      </c>
      <c r="CW265" s="46">
        <v>1</v>
      </c>
      <c r="CX265" s="49" t="s">
        <v>922</v>
      </c>
      <c r="CY265" s="49" t="s">
        <v>223</v>
      </c>
      <c r="CZ265" s="49">
        <v>0</v>
      </c>
      <c r="DA265" s="49">
        <v>0</v>
      </c>
      <c r="DB265" s="64">
        <v>54934</v>
      </c>
      <c r="DC265" s="58">
        <v>50.149999999999991</v>
      </c>
      <c r="DD265" s="58">
        <v>12.19</v>
      </c>
      <c r="DE265" s="58">
        <v>11.690000000000001</v>
      </c>
      <c r="DF265" s="58">
        <v>21.86</v>
      </c>
      <c r="DG265" s="58">
        <v>4.1000000000000005</v>
      </c>
      <c r="DH265" s="58">
        <v>49.850000000000009</v>
      </c>
      <c r="DI265" s="45" t="s">
        <v>29</v>
      </c>
      <c r="DJ265" s="59" t="str">
        <f t="shared" si="133"/>
        <v>N/A</v>
      </c>
      <c r="DK265" s="65">
        <v>54934</v>
      </c>
      <c r="DL265" s="58">
        <v>50.149999999999991</v>
      </c>
      <c r="DM265" s="58">
        <v>12.19</v>
      </c>
      <c r="DN265" s="58">
        <v>11.690000000000001</v>
      </c>
      <c r="DO265" s="58">
        <v>49.850000000000009</v>
      </c>
      <c r="DP265" s="66">
        <v>48.35</v>
      </c>
      <c r="DQ265" s="67">
        <v>77287.320000000007</v>
      </c>
      <c r="DR265" s="53">
        <v>11.5</v>
      </c>
      <c r="DS265" s="58">
        <v>78.099999999999994</v>
      </c>
      <c r="DT265" s="53">
        <v>37.200000000000003</v>
      </c>
      <c r="DU265" s="55">
        <v>2.41</v>
      </c>
      <c r="DV265" s="102">
        <v>38.200000000000003</v>
      </c>
      <c r="DW265" s="53">
        <v>85.6</v>
      </c>
      <c r="DX265" s="53">
        <v>88.55</v>
      </c>
      <c r="DY265" s="53">
        <v>43.3553</v>
      </c>
      <c r="DZ265" s="63"/>
    </row>
    <row r="266" spans="1:130" s="5" customFormat="1" ht="14.25" customHeight="1">
      <c r="A266" s="45">
        <v>1233</v>
      </c>
      <c r="B266" s="46" t="s">
        <v>210</v>
      </c>
      <c r="C266" s="46">
        <v>2006</v>
      </c>
      <c r="D266" s="46" t="s">
        <v>219</v>
      </c>
      <c r="E266" s="71" t="s">
        <v>86</v>
      </c>
      <c r="F266" s="46">
        <v>4</v>
      </c>
      <c r="G266" s="48">
        <v>108000</v>
      </c>
      <c r="H266" s="46" t="s">
        <v>249</v>
      </c>
      <c r="I266" s="46">
        <v>1</v>
      </c>
      <c r="J266" s="46">
        <v>3</v>
      </c>
      <c r="K266" s="49" t="s">
        <v>257</v>
      </c>
      <c r="L266" s="49" t="s">
        <v>30</v>
      </c>
      <c r="M266" s="49" t="s">
        <v>29</v>
      </c>
      <c r="N266" s="49" t="s">
        <v>513</v>
      </c>
      <c r="O266" s="49"/>
      <c r="P266" s="49" t="s">
        <v>174</v>
      </c>
      <c r="Q266" s="49" t="s">
        <v>29</v>
      </c>
      <c r="R266" s="49">
        <v>1</v>
      </c>
      <c r="S266" s="50">
        <f t="shared" si="124"/>
        <v>33.333333333333329</v>
      </c>
      <c r="T266" s="49" t="str">
        <f>LEFT(V266,2)</f>
        <v>0</v>
      </c>
      <c r="U266" s="50">
        <f t="shared" si="125"/>
        <v>0</v>
      </c>
      <c r="V266" s="49">
        <v>0</v>
      </c>
      <c r="W266" s="49">
        <v>0</v>
      </c>
      <c r="X266" s="50">
        <f t="shared" si="126"/>
        <v>0</v>
      </c>
      <c r="Y266" s="51" t="str">
        <f t="shared" si="127"/>
        <v>No</v>
      </c>
      <c r="Z266" s="49" t="s">
        <v>29</v>
      </c>
      <c r="AA266" s="49" t="s">
        <v>29</v>
      </c>
      <c r="AB266" s="49" t="s">
        <v>29</v>
      </c>
      <c r="AC266" s="46" t="s">
        <v>72</v>
      </c>
      <c r="AD266" s="46" t="s">
        <v>27</v>
      </c>
      <c r="AE266" s="46" t="s">
        <v>73</v>
      </c>
      <c r="AF266" s="46" t="s">
        <v>29</v>
      </c>
      <c r="AG266" s="103">
        <v>35117</v>
      </c>
      <c r="AH266" s="52">
        <v>31343</v>
      </c>
      <c r="AI266" s="52">
        <v>31343</v>
      </c>
      <c r="AJ266" s="102">
        <v>66.239999999999995</v>
      </c>
      <c r="AK266" s="104">
        <v>132.47999999999999</v>
      </c>
      <c r="AL266" s="102">
        <v>66.239999999999995</v>
      </c>
      <c r="AM266" s="102"/>
      <c r="AN266" s="53">
        <f t="shared" si="128"/>
        <v>132.47999999999999</v>
      </c>
      <c r="AO266" s="53">
        <v>29.06</v>
      </c>
      <c r="AP266" s="102">
        <v>3359</v>
      </c>
      <c r="AQ266" s="102">
        <v>9.6</v>
      </c>
      <c r="AR266" s="102">
        <v>118</v>
      </c>
      <c r="AS266" s="102">
        <v>0.4</v>
      </c>
      <c r="AT266" s="102"/>
      <c r="AU266" s="102"/>
      <c r="AV266" s="102"/>
      <c r="AW266" s="102"/>
      <c r="AX266" s="102"/>
      <c r="AY266" s="102"/>
      <c r="AZ266" s="102"/>
      <c r="BA266" s="102"/>
      <c r="BB266" s="102"/>
      <c r="BC266" s="102"/>
      <c r="BD266" s="102">
        <v>845</v>
      </c>
      <c r="BE266" s="102">
        <v>2.7</v>
      </c>
      <c r="BF266" s="102">
        <v>960</v>
      </c>
      <c r="BG266" s="102">
        <v>3</v>
      </c>
      <c r="BH266" s="102"/>
      <c r="BI266" s="102"/>
      <c r="BJ266" s="102"/>
      <c r="BK266" s="102"/>
      <c r="BL266" s="102"/>
      <c r="BM266" s="102"/>
      <c r="BN266" s="102"/>
      <c r="BO266" s="102"/>
      <c r="BP266" s="102"/>
      <c r="BQ266" s="102"/>
      <c r="BR266" s="102" t="s">
        <v>967</v>
      </c>
      <c r="BS266" s="54" t="s">
        <v>29</v>
      </c>
      <c r="BT266" s="45" t="str">
        <f t="shared" si="134"/>
        <v>No</v>
      </c>
      <c r="BU266" s="45" t="str">
        <f t="shared" si="135"/>
        <v>No</v>
      </c>
      <c r="BV266" s="45" t="str">
        <f t="shared" si="136"/>
        <v>No</v>
      </c>
      <c r="BW266" s="55">
        <f t="shared" si="132"/>
        <v>84.519846095572262</v>
      </c>
      <c r="BX266" s="55">
        <v>92.675569932897645</v>
      </c>
      <c r="BY266" s="55">
        <v>85.749846095572252</v>
      </c>
      <c r="BZ266" s="55">
        <f t="shared" si="131"/>
        <v>93.905569932897649</v>
      </c>
      <c r="CA266" s="45">
        <v>2004</v>
      </c>
      <c r="CB266" s="55">
        <f t="shared" si="137"/>
        <v>50.738996001489326</v>
      </c>
      <c r="CC266" s="46" t="s">
        <v>490</v>
      </c>
      <c r="CD266" s="46" t="s">
        <v>71</v>
      </c>
      <c r="CE266" s="71" t="s">
        <v>783</v>
      </c>
      <c r="CF266" s="46">
        <v>1</v>
      </c>
      <c r="CG266" s="46" t="str">
        <f t="shared" si="129"/>
        <v>No</v>
      </c>
      <c r="CH266" s="46" t="s">
        <v>35</v>
      </c>
      <c r="CI266" s="56">
        <v>500</v>
      </c>
      <c r="CJ266" s="46" t="s">
        <v>180</v>
      </c>
      <c r="CK266" s="79">
        <v>1000</v>
      </c>
      <c r="CL266" s="49" t="s">
        <v>35</v>
      </c>
      <c r="CM266" s="50">
        <f>(1/3)*100</f>
        <v>33.333333333333329</v>
      </c>
      <c r="CN266" s="50"/>
      <c r="CO266" s="50"/>
      <c r="CP266" s="46" t="s">
        <v>23</v>
      </c>
      <c r="CQ266" s="46" t="s">
        <v>24</v>
      </c>
      <c r="CR266" s="46">
        <v>11</v>
      </c>
      <c r="CS266" s="46" t="s">
        <v>855</v>
      </c>
      <c r="CT266" s="46" t="s">
        <v>856</v>
      </c>
      <c r="CU266" s="46" t="s">
        <v>213</v>
      </c>
      <c r="CV266" s="46">
        <v>0</v>
      </c>
      <c r="CW266" s="46">
        <v>1</v>
      </c>
      <c r="CX266" s="49" t="s">
        <v>922</v>
      </c>
      <c r="CY266" s="49" t="s">
        <v>223</v>
      </c>
      <c r="CZ266" s="49">
        <v>0</v>
      </c>
      <c r="DA266" s="49">
        <v>0</v>
      </c>
      <c r="DB266" s="64">
        <v>61773</v>
      </c>
      <c r="DC266" s="58">
        <v>76</v>
      </c>
      <c r="DD266" s="58">
        <v>3.45</v>
      </c>
      <c r="DE266" s="58">
        <v>8.5500000000000007</v>
      </c>
      <c r="DF266" s="58">
        <v>9.42</v>
      </c>
      <c r="DG266" s="58">
        <v>1.9</v>
      </c>
      <c r="DH266" s="58">
        <v>24</v>
      </c>
      <c r="DI266" s="45" t="s">
        <v>29</v>
      </c>
      <c r="DJ266" s="59" t="str">
        <f t="shared" si="133"/>
        <v>N/A</v>
      </c>
      <c r="DK266" s="65">
        <v>61773</v>
      </c>
      <c r="DL266" s="58">
        <v>76</v>
      </c>
      <c r="DM266" s="58">
        <v>3.45</v>
      </c>
      <c r="DN266" s="58">
        <v>8.5500000000000007</v>
      </c>
      <c r="DO266" s="58">
        <v>24</v>
      </c>
      <c r="DP266" s="66">
        <v>48.35</v>
      </c>
      <c r="DQ266" s="67">
        <v>77287.320000000007</v>
      </c>
      <c r="DR266" s="53">
        <v>11.5</v>
      </c>
      <c r="DS266" s="58">
        <v>78.099999999999994</v>
      </c>
      <c r="DT266" s="53">
        <v>37.200000000000003</v>
      </c>
      <c r="DU266" s="55">
        <v>2.41</v>
      </c>
      <c r="DV266" s="50">
        <v>38.200000000000003</v>
      </c>
      <c r="DW266" s="53">
        <v>85.6</v>
      </c>
      <c r="DX266" s="53">
        <v>88.55</v>
      </c>
      <c r="DY266" s="53">
        <v>43.3553</v>
      </c>
      <c r="DZ266" s="63"/>
    </row>
    <row r="267" spans="1:130" s="5" customFormat="1" ht="14.25" customHeight="1">
      <c r="A267" s="45">
        <v>1234</v>
      </c>
      <c r="B267" s="46" t="s">
        <v>210</v>
      </c>
      <c r="C267" s="46">
        <v>2006</v>
      </c>
      <c r="D267" s="46" t="s">
        <v>219</v>
      </c>
      <c r="E267" s="46" t="s">
        <v>224</v>
      </c>
      <c r="F267" s="46">
        <v>4</v>
      </c>
      <c r="G267" s="48">
        <v>108000</v>
      </c>
      <c r="H267" s="46" t="s">
        <v>249</v>
      </c>
      <c r="I267" s="46">
        <v>1</v>
      </c>
      <c r="J267" s="46">
        <v>7</v>
      </c>
      <c r="K267" s="49" t="s">
        <v>258</v>
      </c>
      <c r="L267" s="49" t="s">
        <v>40</v>
      </c>
      <c r="M267" s="49" t="s">
        <v>35</v>
      </c>
      <c r="N267" s="49" t="s">
        <v>513</v>
      </c>
      <c r="O267" s="49"/>
      <c r="P267" s="49" t="s">
        <v>201</v>
      </c>
      <c r="Q267" s="49" t="s">
        <v>35</v>
      </c>
      <c r="R267" s="49">
        <v>4</v>
      </c>
      <c r="S267" s="50">
        <f t="shared" si="124"/>
        <v>57.142857142857139</v>
      </c>
      <c r="T267" s="49" t="str">
        <f>LEFT(V267,2)</f>
        <v xml:space="preserve">6 </v>
      </c>
      <c r="U267" s="50">
        <f t="shared" si="125"/>
        <v>85.714285714285708</v>
      </c>
      <c r="V267" s="49" t="s">
        <v>887</v>
      </c>
      <c r="W267" s="49">
        <v>4</v>
      </c>
      <c r="X267" s="50">
        <f t="shared" si="126"/>
        <v>57.142857142857139</v>
      </c>
      <c r="Y267" s="51" t="str">
        <f t="shared" si="127"/>
        <v>Yes</v>
      </c>
      <c r="Z267" s="49" t="s">
        <v>29</v>
      </c>
      <c r="AA267" s="49" t="s">
        <v>35</v>
      </c>
      <c r="AB267" s="45" t="s">
        <v>35</v>
      </c>
      <c r="AC267" s="46" t="s">
        <v>72</v>
      </c>
      <c r="AD267" s="46" t="s">
        <v>27</v>
      </c>
      <c r="AE267" s="46" t="s">
        <v>73</v>
      </c>
      <c r="AF267" s="46" t="s">
        <v>29</v>
      </c>
      <c r="AG267" s="103">
        <v>16703</v>
      </c>
      <c r="AH267" s="52">
        <v>14094</v>
      </c>
      <c r="AI267" s="52">
        <v>14094</v>
      </c>
      <c r="AJ267" s="102">
        <v>56.17</v>
      </c>
      <c r="AK267" s="104">
        <v>112.34</v>
      </c>
      <c r="AL267" s="102">
        <v>56.17</v>
      </c>
      <c r="AM267" s="102"/>
      <c r="AN267" s="53">
        <f t="shared" si="128"/>
        <v>112.34</v>
      </c>
      <c r="AO267" s="53">
        <v>11.95</v>
      </c>
      <c r="AP267" s="102">
        <v>2212</v>
      </c>
      <c r="AQ267" s="102">
        <v>13.2</v>
      </c>
      <c r="AR267" s="102">
        <v>246</v>
      </c>
      <c r="AS267" s="102">
        <v>1.7</v>
      </c>
      <c r="AT267" s="102"/>
      <c r="AU267" s="102"/>
      <c r="AV267" s="102"/>
      <c r="AW267" s="102"/>
      <c r="AX267" s="102"/>
      <c r="AY267" s="102"/>
      <c r="AZ267" s="102"/>
      <c r="BA267" s="102"/>
      <c r="BB267" s="102"/>
      <c r="BC267" s="102"/>
      <c r="BD267" s="102">
        <v>464</v>
      </c>
      <c r="BE267" s="102">
        <v>3.2</v>
      </c>
      <c r="BF267" s="102">
        <v>698</v>
      </c>
      <c r="BG267" s="102">
        <v>4.8</v>
      </c>
      <c r="BH267" s="102"/>
      <c r="BI267" s="102"/>
      <c r="BJ267" s="102"/>
      <c r="BK267" s="102"/>
      <c r="BL267" s="102"/>
      <c r="BM267" s="102"/>
      <c r="BN267" s="102"/>
      <c r="BO267" s="102"/>
      <c r="BP267" s="102"/>
      <c r="BQ267" s="102"/>
      <c r="BR267" s="102" t="s">
        <v>967</v>
      </c>
      <c r="BS267" s="54" t="s">
        <v>29</v>
      </c>
      <c r="BT267" s="45" t="str">
        <f t="shared" si="134"/>
        <v>No</v>
      </c>
      <c r="BU267" s="45" t="str">
        <f t="shared" si="135"/>
        <v>No</v>
      </c>
      <c r="BV267" s="45" t="str">
        <f t="shared" si="136"/>
        <v>No</v>
      </c>
      <c r="BW267" s="55">
        <f t="shared" si="132"/>
        <v>84.519846095572262</v>
      </c>
      <c r="BX267" s="55">
        <v>89.751057208968319</v>
      </c>
      <c r="BY267" s="55">
        <v>85.749846095572252</v>
      </c>
      <c r="BZ267" s="55">
        <f t="shared" si="131"/>
        <v>90.981057208968323</v>
      </c>
      <c r="CA267" s="45">
        <v>2004</v>
      </c>
      <c r="CB267" s="55">
        <f t="shared" si="137"/>
        <v>28.377562114927716</v>
      </c>
      <c r="CC267" s="46" t="s">
        <v>490</v>
      </c>
      <c r="CD267" s="46" t="s">
        <v>71</v>
      </c>
      <c r="CE267" s="71" t="s">
        <v>783</v>
      </c>
      <c r="CF267" s="46">
        <v>1</v>
      </c>
      <c r="CG267" s="46" t="str">
        <f t="shared" si="129"/>
        <v>No</v>
      </c>
      <c r="CH267" s="46" t="s">
        <v>35</v>
      </c>
      <c r="CI267" s="56">
        <v>500</v>
      </c>
      <c r="CJ267" s="46" t="s">
        <v>180</v>
      </c>
      <c r="CK267" s="79">
        <v>1000</v>
      </c>
      <c r="CL267" s="49" t="s">
        <v>35</v>
      </c>
      <c r="CM267" s="102">
        <f>(1/7)*100</f>
        <v>14.285714285714285</v>
      </c>
      <c r="CN267" s="102"/>
      <c r="CO267" s="102"/>
      <c r="CP267" s="46" t="s">
        <v>23</v>
      </c>
      <c r="CQ267" s="46" t="s">
        <v>24</v>
      </c>
      <c r="CR267" s="46">
        <v>11</v>
      </c>
      <c r="CS267" s="46" t="s">
        <v>855</v>
      </c>
      <c r="CT267" s="46" t="s">
        <v>856</v>
      </c>
      <c r="CU267" s="46" t="s">
        <v>213</v>
      </c>
      <c r="CV267" s="46">
        <v>0</v>
      </c>
      <c r="CW267" s="46">
        <v>1</v>
      </c>
      <c r="CX267" s="49" t="s">
        <v>922</v>
      </c>
      <c r="CY267" s="49" t="s">
        <v>223</v>
      </c>
      <c r="CZ267" s="49">
        <v>0</v>
      </c>
      <c r="DA267" s="49">
        <v>0</v>
      </c>
      <c r="DB267" s="64">
        <v>49666</v>
      </c>
      <c r="DC267" s="58">
        <v>30.73</v>
      </c>
      <c r="DD267" s="58">
        <v>21.67</v>
      </c>
      <c r="DE267" s="58">
        <v>13.55</v>
      </c>
      <c r="DF267" s="58">
        <v>30.099999999999998</v>
      </c>
      <c r="DG267" s="58">
        <v>3.4000000000000004</v>
      </c>
      <c r="DH267" s="58">
        <v>69.27</v>
      </c>
      <c r="DI267" s="45" t="s">
        <v>35</v>
      </c>
      <c r="DJ267" s="59" t="str">
        <f t="shared" si="133"/>
        <v>No single majority group</v>
      </c>
      <c r="DK267" s="65">
        <v>49666</v>
      </c>
      <c r="DL267" s="58">
        <v>30.73</v>
      </c>
      <c r="DM267" s="58">
        <v>21.67</v>
      </c>
      <c r="DN267" s="58">
        <v>13.55</v>
      </c>
      <c r="DO267" s="58">
        <v>69.27</v>
      </c>
      <c r="DP267" s="66">
        <v>48.35</v>
      </c>
      <c r="DQ267" s="67">
        <v>77287.320000000007</v>
      </c>
      <c r="DR267" s="53">
        <v>11.5</v>
      </c>
      <c r="DS267" s="58">
        <v>78.099999999999994</v>
      </c>
      <c r="DT267" s="53">
        <v>37.200000000000003</v>
      </c>
      <c r="DU267" s="55">
        <v>2.41</v>
      </c>
      <c r="DV267" s="50">
        <v>38.200000000000003</v>
      </c>
      <c r="DW267" s="53">
        <v>85.6</v>
      </c>
      <c r="DX267" s="53">
        <v>88.55</v>
      </c>
      <c r="DY267" s="53">
        <v>43.3553</v>
      </c>
      <c r="DZ267" s="63"/>
    </row>
    <row r="268" spans="1:130" s="5" customFormat="1" ht="14.25" customHeight="1">
      <c r="A268" s="45">
        <v>1229</v>
      </c>
      <c r="B268" s="46" t="s">
        <v>210</v>
      </c>
      <c r="C268" s="46">
        <v>2006</v>
      </c>
      <c r="D268" s="46" t="s">
        <v>217</v>
      </c>
      <c r="E268" s="46" t="s">
        <v>22</v>
      </c>
      <c r="F268" s="46">
        <v>4</v>
      </c>
      <c r="G268" s="48">
        <v>200000</v>
      </c>
      <c r="H268" s="46" t="s">
        <v>249</v>
      </c>
      <c r="I268" s="46">
        <v>1</v>
      </c>
      <c r="J268" s="46">
        <v>1</v>
      </c>
      <c r="K268" s="49" t="s">
        <v>218</v>
      </c>
      <c r="L268" s="49" t="s">
        <v>30</v>
      </c>
      <c r="M268" s="49" t="s">
        <v>29</v>
      </c>
      <c r="N268" s="49" t="s">
        <v>513</v>
      </c>
      <c r="O268" s="49"/>
      <c r="P268" s="49" t="s">
        <v>34</v>
      </c>
      <c r="Q268" s="49" t="s">
        <v>35</v>
      </c>
      <c r="R268" s="49">
        <v>0</v>
      </c>
      <c r="S268" s="50">
        <f t="shared" si="124"/>
        <v>0</v>
      </c>
      <c r="T268" s="49" t="str">
        <f>LEFT(V268, 1)</f>
        <v>1</v>
      </c>
      <c r="U268" s="50">
        <f t="shared" si="125"/>
        <v>100</v>
      </c>
      <c r="V268" s="49" t="s">
        <v>173</v>
      </c>
      <c r="W268" s="49">
        <v>0</v>
      </c>
      <c r="X268" s="50">
        <f t="shared" si="126"/>
        <v>0</v>
      </c>
      <c r="Y268" s="51" t="str">
        <f t="shared" si="127"/>
        <v>No</v>
      </c>
      <c r="Z268" s="49" t="s">
        <v>29</v>
      </c>
      <c r="AA268" s="49" t="s">
        <v>35</v>
      </c>
      <c r="AB268" s="49" t="s">
        <v>29</v>
      </c>
      <c r="AC268" s="46" t="s">
        <v>72</v>
      </c>
      <c r="AD268" s="46" t="s">
        <v>27</v>
      </c>
      <c r="AE268" s="46" t="s">
        <v>73</v>
      </c>
      <c r="AF268" s="46" t="s">
        <v>29</v>
      </c>
      <c r="AG268" s="103">
        <v>253719</v>
      </c>
      <c r="AH268" s="52">
        <v>182872</v>
      </c>
      <c r="AI268" s="52">
        <v>182872</v>
      </c>
      <c r="AJ268" s="102">
        <v>98.85</v>
      </c>
      <c r="AK268" s="104">
        <v>197.7</v>
      </c>
      <c r="AL268" s="102">
        <v>98.85</v>
      </c>
      <c r="AM268" s="102"/>
      <c r="AN268" s="53">
        <f t="shared" si="128"/>
        <v>197.7</v>
      </c>
      <c r="AO268" s="53" t="s">
        <v>23</v>
      </c>
      <c r="AP268" s="102">
        <v>70847</v>
      </c>
      <c r="AQ268" s="102">
        <v>27.92341133301014</v>
      </c>
      <c r="AR268" s="102"/>
      <c r="AS268" s="102"/>
      <c r="AT268" s="102"/>
      <c r="AU268" s="102"/>
      <c r="AV268" s="102"/>
      <c r="AW268" s="102"/>
      <c r="AX268" s="102"/>
      <c r="AY268" s="102"/>
      <c r="AZ268" s="102"/>
      <c r="BA268" s="102"/>
      <c r="BB268" s="102"/>
      <c r="BC268" s="102"/>
      <c r="BD268" s="102"/>
      <c r="BE268" s="102"/>
      <c r="BF268" s="102"/>
      <c r="BG268" s="102"/>
      <c r="BH268" s="102"/>
      <c r="BI268" s="102"/>
      <c r="BJ268" s="102"/>
      <c r="BK268" s="102"/>
      <c r="BL268" s="102"/>
      <c r="BM268" s="102"/>
      <c r="BN268" s="102"/>
      <c r="BO268" s="102"/>
      <c r="BP268" s="102"/>
      <c r="BQ268" s="102"/>
      <c r="BR268" s="102"/>
      <c r="BS268" s="54" t="s">
        <v>23</v>
      </c>
      <c r="BT268" s="45" t="str">
        <f t="shared" si="134"/>
        <v>No</v>
      </c>
      <c r="BU268" s="45" t="str">
        <f t="shared" si="135"/>
        <v>No</v>
      </c>
      <c r="BV268" s="45" t="str">
        <f t="shared" si="136"/>
        <v>No</v>
      </c>
      <c r="BW268" s="55">
        <f t="shared" si="132"/>
        <v>84.519846095572262</v>
      </c>
      <c r="BX268" s="55">
        <f>(296772/(296772+54355))*100</f>
        <v>84.519846095572262</v>
      </c>
      <c r="BY268" s="55">
        <v>85.749846095572252</v>
      </c>
      <c r="BZ268" s="55">
        <f t="shared" si="131"/>
        <v>85.749846095572266</v>
      </c>
      <c r="CA268" s="45">
        <v>2004</v>
      </c>
      <c r="CB268" s="55">
        <f t="shared" si="137"/>
        <v>31.273535699016676</v>
      </c>
      <c r="CC268" s="46" t="s">
        <v>490</v>
      </c>
      <c r="CD268" s="46" t="s">
        <v>71</v>
      </c>
      <c r="CE268" s="71" t="s">
        <v>783</v>
      </c>
      <c r="CF268" s="46">
        <v>1</v>
      </c>
      <c r="CG268" s="46" t="str">
        <f t="shared" si="129"/>
        <v>No</v>
      </c>
      <c r="CH268" s="46" t="s">
        <v>29</v>
      </c>
      <c r="CI268" s="56">
        <v>4000</v>
      </c>
      <c r="CJ268" s="46" t="s">
        <v>180</v>
      </c>
      <c r="CK268" s="79">
        <f>CI268*2</f>
        <v>8000</v>
      </c>
      <c r="CL268" s="49" t="s">
        <v>29</v>
      </c>
      <c r="CM268" s="50">
        <v>0</v>
      </c>
      <c r="CN268" s="50"/>
      <c r="CO268" s="50"/>
      <c r="CP268" s="46" t="s">
        <v>23</v>
      </c>
      <c r="CQ268" s="46" t="s">
        <v>23</v>
      </c>
      <c r="CR268" s="46">
        <v>11</v>
      </c>
      <c r="CS268" s="46" t="s">
        <v>855</v>
      </c>
      <c r="CT268" s="46" t="s">
        <v>963</v>
      </c>
      <c r="CU268" s="46" t="s">
        <v>213</v>
      </c>
      <c r="CV268" s="46">
        <v>0</v>
      </c>
      <c r="CW268" s="46">
        <v>1</v>
      </c>
      <c r="CX268" s="49" t="s">
        <v>922</v>
      </c>
      <c r="CY268" s="49" t="s">
        <v>223</v>
      </c>
      <c r="CZ268" s="49">
        <v>0</v>
      </c>
      <c r="DA268" s="49">
        <v>0</v>
      </c>
      <c r="DB268" s="57">
        <v>584750</v>
      </c>
      <c r="DC268" s="58">
        <v>48.78</v>
      </c>
      <c r="DD268" s="58">
        <v>6.5699999999999994</v>
      </c>
      <c r="DE268" s="58">
        <v>10.93</v>
      </c>
      <c r="DF268" s="58">
        <v>30.69</v>
      </c>
      <c r="DG268" s="58">
        <v>3.0299999999999994</v>
      </c>
      <c r="DH268" s="58">
        <v>51.22</v>
      </c>
      <c r="DI268" s="45" t="s">
        <v>35</v>
      </c>
      <c r="DJ268" s="59" t="str">
        <f t="shared" si="133"/>
        <v>No single majority group</v>
      </c>
      <c r="DK268" s="60">
        <v>584750</v>
      </c>
      <c r="DL268" s="58">
        <v>48.78</v>
      </c>
      <c r="DM268" s="58">
        <v>6.5699999999999994</v>
      </c>
      <c r="DN268" s="58">
        <v>10.93</v>
      </c>
      <c r="DO268" s="58">
        <v>51.22</v>
      </c>
      <c r="DP268" s="66">
        <v>48.35</v>
      </c>
      <c r="DQ268" s="67">
        <v>77287.320000000007</v>
      </c>
      <c r="DR268" s="53">
        <v>11.5</v>
      </c>
      <c r="DS268" s="58">
        <v>78.099999999999994</v>
      </c>
      <c r="DT268" s="53">
        <v>37.200000000000003</v>
      </c>
      <c r="DU268" s="55">
        <v>2.41</v>
      </c>
      <c r="DV268" s="50">
        <v>38.200000000000003</v>
      </c>
      <c r="DW268" s="53">
        <v>85.6</v>
      </c>
      <c r="DX268" s="53">
        <v>88.55</v>
      </c>
      <c r="DY268" s="53">
        <v>43.3553</v>
      </c>
      <c r="DZ268" s="63"/>
    </row>
    <row r="269" spans="1:130" s="5" customFormat="1" ht="14.25" customHeight="1">
      <c r="A269" s="45">
        <v>1227</v>
      </c>
      <c r="B269" s="46" t="s">
        <v>210</v>
      </c>
      <c r="C269" s="46">
        <v>2007</v>
      </c>
      <c r="D269" s="46" t="s">
        <v>240</v>
      </c>
      <c r="E269" s="46" t="s">
        <v>22</v>
      </c>
      <c r="F269" s="46">
        <v>4</v>
      </c>
      <c r="G269" s="48">
        <v>230000</v>
      </c>
      <c r="H269" s="46" t="s">
        <v>249</v>
      </c>
      <c r="I269" s="46">
        <v>1</v>
      </c>
      <c r="J269" s="46">
        <v>1</v>
      </c>
      <c r="K269" s="49" t="s">
        <v>251</v>
      </c>
      <c r="L269" s="49" t="s">
        <v>40</v>
      </c>
      <c r="M269" s="49" t="s">
        <v>35</v>
      </c>
      <c r="N269" s="49" t="s">
        <v>513</v>
      </c>
      <c r="O269" s="49"/>
      <c r="P269" s="49" t="s">
        <v>912</v>
      </c>
      <c r="Q269" s="49" t="s">
        <v>35</v>
      </c>
      <c r="R269" s="49">
        <v>1</v>
      </c>
      <c r="S269" s="50">
        <f t="shared" si="124"/>
        <v>100</v>
      </c>
      <c r="T269" s="49" t="str">
        <f>LEFT(V269,2)</f>
        <v xml:space="preserve">1 </v>
      </c>
      <c r="U269" s="50">
        <f t="shared" si="125"/>
        <v>100</v>
      </c>
      <c r="V269" s="49" t="s">
        <v>858</v>
      </c>
      <c r="W269" s="49">
        <v>1</v>
      </c>
      <c r="X269" s="50">
        <f t="shared" si="126"/>
        <v>100</v>
      </c>
      <c r="Y269" s="51" t="str">
        <f t="shared" si="127"/>
        <v>Yes</v>
      </c>
      <c r="Z269" s="49" t="s">
        <v>29</v>
      </c>
      <c r="AA269" s="49" t="s">
        <v>35</v>
      </c>
      <c r="AB269" s="45" t="s">
        <v>35</v>
      </c>
      <c r="AC269" s="46" t="s">
        <v>72</v>
      </c>
      <c r="AD269" s="46" t="s">
        <v>27</v>
      </c>
      <c r="AE269" s="46" t="s">
        <v>228</v>
      </c>
      <c r="AF269" s="46" t="s">
        <v>29</v>
      </c>
      <c r="AG269" s="103">
        <v>149465</v>
      </c>
      <c r="AH269" s="52">
        <v>116311</v>
      </c>
      <c r="AI269" s="52">
        <v>116311</v>
      </c>
      <c r="AJ269" s="102">
        <v>98.5</v>
      </c>
      <c r="AK269" s="104">
        <v>197</v>
      </c>
      <c r="AL269" s="102">
        <v>98.5</v>
      </c>
      <c r="AM269" s="102"/>
      <c r="AN269" s="53">
        <f t="shared" si="128"/>
        <v>197</v>
      </c>
      <c r="AO269" s="53" t="s">
        <v>23</v>
      </c>
      <c r="AP269" s="102">
        <v>33158</v>
      </c>
      <c r="AQ269" s="102">
        <v>22.184457899842773</v>
      </c>
      <c r="AR269" s="102">
        <v>12</v>
      </c>
      <c r="AS269" s="108">
        <f>AR269/AI269 *100</f>
        <v>1.0317166905967621E-2</v>
      </c>
      <c r="AT269" s="108"/>
      <c r="AU269" s="108"/>
      <c r="AV269" s="102"/>
      <c r="AW269" s="102"/>
      <c r="AX269" s="102"/>
      <c r="AY269" s="102"/>
      <c r="AZ269" s="102"/>
      <c r="BA269" s="102"/>
      <c r="BB269" s="102"/>
      <c r="BC269" s="102"/>
      <c r="BD269" s="102"/>
      <c r="BE269" s="102"/>
      <c r="BF269" s="102"/>
      <c r="BG269" s="102"/>
      <c r="BH269" s="102"/>
      <c r="BI269" s="102"/>
      <c r="BJ269" s="102"/>
      <c r="BK269" s="102"/>
      <c r="BL269" s="102"/>
      <c r="BM269" s="102"/>
      <c r="BN269" s="102"/>
      <c r="BO269" s="102"/>
      <c r="BP269" s="102"/>
      <c r="BQ269" s="102"/>
      <c r="BR269" s="102"/>
      <c r="BS269" s="54" t="s">
        <v>23</v>
      </c>
      <c r="BT269" s="45" t="str">
        <f t="shared" si="134"/>
        <v>No</v>
      </c>
      <c r="BU269" s="45" t="str">
        <f t="shared" si="135"/>
        <v>No</v>
      </c>
      <c r="BV269" s="45" t="str">
        <f t="shared" si="136"/>
        <v>No</v>
      </c>
      <c r="BW269" s="55">
        <f t="shared" ref="BW269:BX271" si="138">(322220 /(322220 +52292 ))*100</f>
        <v>86.037296535224499</v>
      </c>
      <c r="BX269" s="55">
        <f t="shared" si="138"/>
        <v>86.037296535224499</v>
      </c>
      <c r="BY269" s="55">
        <v>82.402296535224508</v>
      </c>
      <c r="BZ269" s="55">
        <f t="shared" ref="BZ269:BZ287" si="139">BX269-(0.0727*100/2)</f>
        <v>82.402296535224494</v>
      </c>
      <c r="CA269" s="45">
        <v>2008</v>
      </c>
      <c r="CB269" s="55">
        <f t="shared" si="137"/>
        <v>19.89072253099615</v>
      </c>
      <c r="CC269" s="46" t="s">
        <v>490</v>
      </c>
      <c r="CD269" s="46" t="s">
        <v>71</v>
      </c>
      <c r="CE269" s="71" t="s">
        <v>783</v>
      </c>
      <c r="CF269" s="46">
        <v>1</v>
      </c>
      <c r="CG269" s="46" t="str">
        <f t="shared" si="129"/>
        <v>No</v>
      </c>
      <c r="CH269" s="46" t="s">
        <v>29</v>
      </c>
      <c r="CI269" s="56">
        <v>4600</v>
      </c>
      <c r="CJ269" s="46" t="s">
        <v>180</v>
      </c>
      <c r="CK269" s="79">
        <f>CI269*2</f>
        <v>9200</v>
      </c>
      <c r="CL269" s="49" t="s">
        <v>29</v>
      </c>
      <c r="CM269" s="50">
        <v>0</v>
      </c>
      <c r="CN269" s="50"/>
      <c r="CO269" s="50"/>
      <c r="CP269" s="46" t="s">
        <v>23</v>
      </c>
      <c r="CQ269" s="46" t="s">
        <v>23</v>
      </c>
      <c r="CR269" s="46">
        <v>11</v>
      </c>
      <c r="CS269" s="46" t="s">
        <v>855</v>
      </c>
      <c r="CT269" s="46" t="s">
        <v>963</v>
      </c>
      <c r="CU269" s="46" t="s">
        <v>213</v>
      </c>
      <c r="CV269" s="46">
        <v>0</v>
      </c>
      <c r="CW269" s="46">
        <v>1</v>
      </c>
      <c r="CX269" s="49" t="s">
        <v>215</v>
      </c>
      <c r="CY269" s="49" t="s">
        <v>223</v>
      </c>
      <c r="CZ269" s="49">
        <v>0</v>
      </c>
      <c r="DA269" s="49">
        <v>0</v>
      </c>
      <c r="DB269" s="57">
        <v>584750</v>
      </c>
      <c r="DC269" s="58">
        <v>48.78</v>
      </c>
      <c r="DD269" s="58">
        <v>6.5699999999999994</v>
      </c>
      <c r="DE269" s="58">
        <v>10.93</v>
      </c>
      <c r="DF269" s="58">
        <v>30.69</v>
      </c>
      <c r="DG269" s="58">
        <v>3.0299999999999994</v>
      </c>
      <c r="DH269" s="58">
        <v>51.22</v>
      </c>
      <c r="DI269" s="45" t="s">
        <v>35</v>
      </c>
      <c r="DJ269" s="59" t="str">
        <f t="shared" si="133"/>
        <v>No single majority group</v>
      </c>
      <c r="DK269" s="60">
        <v>584750</v>
      </c>
      <c r="DL269" s="58">
        <v>48.78</v>
      </c>
      <c r="DM269" s="58">
        <v>6.5699999999999994</v>
      </c>
      <c r="DN269" s="58">
        <v>10.93</v>
      </c>
      <c r="DO269" s="58">
        <v>51.22</v>
      </c>
      <c r="DP269" s="66">
        <v>48.35</v>
      </c>
      <c r="DQ269" s="67">
        <v>77287.320000000007</v>
      </c>
      <c r="DR269" s="53">
        <v>11.5</v>
      </c>
      <c r="DS269" s="58">
        <v>78.099999999999994</v>
      </c>
      <c r="DT269" s="53">
        <v>37.200000000000003</v>
      </c>
      <c r="DU269" s="55">
        <v>2.41</v>
      </c>
      <c r="DV269" s="50">
        <v>38.200000000000003</v>
      </c>
      <c r="DW269" s="53">
        <v>85.6</v>
      </c>
      <c r="DX269" s="53">
        <v>88.55</v>
      </c>
      <c r="DY269" s="53">
        <v>43.3553</v>
      </c>
      <c r="DZ269" s="63"/>
    </row>
    <row r="270" spans="1:130" s="5" customFormat="1" ht="14.25" customHeight="1">
      <c r="A270" s="45">
        <v>1225</v>
      </c>
      <c r="B270" s="46" t="s">
        <v>210</v>
      </c>
      <c r="C270" s="46">
        <v>2007</v>
      </c>
      <c r="D270" s="46" t="s">
        <v>38</v>
      </c>
      <c r="E270" s="46" t="s">
        <v>22</v>
      </c>
      <c r="F270" s="46">
        <v>4</v>
      </c>
      <c r="G270" s="48">
        <v>270000</v>
      </c>
      <c r="H270" s="46" t="s">
        <v>249</v>
      </c>
      <c r="I270" s="46">
        <v>1</v>
      </c>
      <c r="J270" s="46">
        <v>12</v>
      </c>
      <c r="K270" s="49" t="s">
        <v>252</v>
      </c>
      <c r="L270" s="49" t="s">
        <v>30</v>
      </c>
      <c r="M270" s="49" t="s">
        <v>29</v>
      </c>
      <c r="N270" s="49" t="s">
        <v>513</v>
      </c>
      <c r="O270" s="49"/>
      <c r="P270" s="49" t="s">
        <v>174</v>
      </c>
      <c r="Q270" s="49" t="s">
        <v>29</v>
      </c>
      <c r="R270" s="49">
        <v>2</v>
      </c>
      <c r="S270" s="50">
        <f t="shared" ref="S270:S299" si="140">(R270/J270)*100</f>
        <v>16.666666666666664</v>
      </c>
      <c r="T270" s="49">
        <v>3</v>
      </c>
      <c r="U270" s="50">
        <f t="shared" ref="U270:U299" si="141">(T270/J270)*100</f>
        <v>25</v>
      </c>
      <c r="V270" s="49" t="s">
        <v>866</v>
      </c>
      <c r="W270" s="49">
        <v>2</v>
      </c>
      <c r="X270" s="50">
        <f t="shared" ref="X270:X299" si="142">(W270/J270)*100</f>
        <v>16.666666666666664</v>
      </c>
      <c r="Y270" s="51" t="str">
        <f t="shared" ref="Y270:Y299" si="143">IF(L270="M","No", IF(P270="n/a","No",IF(P270="white","No","Yes")))</f>
        <v>No</v>
      </c>
      <c r="Z270" s="49" t="s">
        <v>29</v>
      </c>
      <c r="AA270" s="49" t="s">
        <v>29</v>
      </c>
      <c r="AB270" s="49" t="s">
        <v>29</v>
      </c>
      <c r="AC270" s="46" t="s">
        <v>72</v>
      </c>
      <c r="AD270" s="46" t="s">
        <v>27</v>
      </c>
      <c r="AE270" s="46" t="s">
        <v>228</v>
      </c>
      <c r="AF270" s="46" t="s">
        <v>29</v>
      </c>
      <c r="AG270" s="103">
        <v>149465</v>
      </c>
      <c r="AH270" s="52">
        <v>143838</v>
      </c>
      <c r="AI270" s="52">
        <v>143838</v>
      </c>
      <c r="AJ270" s="102">
        <v>73.66</v>
      </c>
      <c r="AK270" s="104">
        <v>147.32</v>
      </c>
      <c r="AL270" s="102">
        <v>73.66</v>
      </c>
      <c r="AM270" s="102"/>
      <c r="AN270" s="53">
        <f t="shared" ref="AN270:AN299" si="144">AL270/(1/(I270+1))</f>
        <v>147.32</v>
      </c>
      <c r="AO270" s="53">
        <v>6.33</v>
      </c>
      <c r="AP270" s="102">
        <v>4236</v>
      </c>
      <c r="AQ270" s="102">
        <v>2.8</v>
      </c>
      <c r="AR270" s="102">
        <v>866</v>
      </c>
      <c r="AS270" s="102">
        <v>0.6</v>
      </c>
      <c r="AT270" s="102"/>
      <c r="AU270" s="102"/>
      <c r="AV270" s="102"/>
      <c r="AW270" s="102"/>
      <c r="AX270" s="102"/>
      <c r="AY270" s="102"/>
      <c r="AZ270" s="102"/>
      <c r="BA270" s="102"/>
      <c r="BB270" s="102"/>
      <c r="BC270" s="102"/>
      <c r="BD270" s="102">
        <v>2911</v>
      </c>
      <c r="BE270" s="102">
        <v>2</v>
      </c>
      <c r="BF270" s="102">
        <v>3717</v>
      </c>
      <c r="BG270" s="102">
        <v>2.6</v>
      </c>
      <c r="BH270" s="102"/>
      <c r="BI270" s="102"/>
      <c r="BJ270" s="102"/>
      <c r="BK270" s="102"/>
      <c r="BL270" s="102"/>
      <c r="BM270" s="102"/>
      <c r="BN270" s="102"/>
      <c r="BO270" s="102"/>
      <c r="BP270" s="102"/>
      <c r="BQ270" s="102"/>
      <c r="BR270" s="102" t="s">
        <v>967</v>
      </c>
      <c r="BS270" s="54" t="s">
        <v>29</v>
      </c>
      <c r="BT270" s="45" t="str">
        <f t="shared" si="134"/>
        <v>No</v>
      </c>
      <c r="BU270" s="45" t="str">
        <f t="shared" si="135"/>
        <v>No</v>
      </c>
      <c r="BV270" s="45" t="str">
        <f t="shared" si="136"/>
        <v>No</v>
      </c>
      <c r="BW270" s="55">
        <f t="shared" si="138"/>
        <v>86.037296535224499</v>
      </c>
      <c r="BX270" s="55">
        <f t="shared" si="138"/>
        <v>86.037296535224499</v>
      </c>
      <c r="BY270" s="55">
        <v>82.402296535224508</v>
      </c>
      <c r="BZ270" s="55">
        <f t="shared" si="139"/>
        <v>82.402296535224494</v>
      </c>
      <c r="CA270" s="45">
        <v>2008</v>
      </c>
      <c r="CB270" s="55">
        <f t="shared" si="137"/>
        <v>24.598204360837965</v>
      </c>
      <c r="CC270" s="46" t="s">
        <v>490</v>
      </c>
      <c r="CD270" s="46" t="s">
        <v>71</v>
      </c>
      <c r="CE270" s="71" t="s">
        <v>783</v>
      </c>
      <c r="CF270" s="46">
        <v>1</v>
      </c>
      <c r="CG270" s="46" t="str">
        <f t="shared" ref="CG270:CG299" si="145">IF(CD270="Primary (decisive)", "Yes", "No")</f>
        <v>No</v>
      </c>
      <c r="CH270" s="46" t="s">
        <v>35</v>
      </c>
      <c r="CI270" s="56">
        <v>5000</v>
      </c>
      <c r="CJ270" s="46" t="s">
        <v>180</v>
      </c>
      <c r="CK270" s="79">
        <f>CI270*2</f>
        <v>10000</v>
      </c>
      <c r="CL270" s="49" t="s">
        <v>35</v>
      </c>
      <c r="CM270" s="50">
        <v>0</v>
      </c>
      <c r="CN270" s="50">
        <v>1902967.5150000001</v>
      </c>
      <c r="CO270" s="50" t="s">
        <v>29</v>
      </c>
      <c r="CP270" s="46" t="s">
        <v>23</v>
      </c>
      <c r="CQ270" s="46" t="s">
        <v>23</v>
      </c>
      <c r="CR270" s="46">
        <v>11</v>
      </c>
      <c r="CS270" s="46" t="s">
        <v>855</v>
      </c>
      <c r="CT270" s="46" t="s">
        <v>963</v>
      </c>
      <c r="CU270" s="46" t="s">
        <v>213</v>
      </c>
      <c r="CV270" s="46">
        <v>0</v>
      </c>
      <c r="CW270" s="46">
        <v>1</v>
      </c>
      <c r="CX270" s="49" t="s">
        <v>215</v>
      </c>
      <c r="CY270" s="49" t="s">
        <v>223</v>
      </c>
      <c r="CZ270" s="49">
        <v>0</v>
      </c>
      <c r="DA270" s="49">
        <v>0</v>
      </c>
      <c r="DB270" s="57">
        <v>584750</v>
      </c>
      <c r="DC270" s="58">
        <v>48.78</v>
      </c>
      <c r="DD270" s="58">
        <v>6.5699999999999994</v>
      </c>
      <c r="DE270" s="58">
        <v>10.93</v>
      </c>
      <c r="DF270" s="58">
        <v>30.69</v>
      </c>
      <c r="DG270" s="58">
        <v>3.0299999999999994</v>
      </c>
      <c r="DH270" s="58">
        <v>51.22</v>
      </c>
      <c r="DI270" s="45" t="s">
        <v>35</v>
      </c>
      <c r="DJ270" s="59" t="str">
        <f t="shared" si="133"/>
        <v>No single majority group</v>
      </c>
      <c r="DK270" s="60">
        <v>584750</v>
      </c>
      <c r="DL270" s="58">
        <v>48.78</v>
      </c>
      <c r="DM270" s="58">
        <v>6.5699999999999994</v>
      </c>
      <c r="DN270" s="58">
        <v>10.93</v>
      </c>
      <c r="DO270" s="58">
        <v>51.22</v>
      </c>
      <c r="DP270" s="66">
        <v>48.35</v>
      </c>
      <c r="DQ270" s="67">
        <v>77287.320000000007</v>
      </c>
      <c r="DR270" s="53">
        <v>11.5</v>
      </c>
      <c r="DS270" s="58">
        <v>78.099999999999994</v>
      </c>
      <c r="DT270" s="53">
        <v>37.200000000000003</v>
      </c>
      <c r="DU270" s="55">
        <v>2.41</v>
      </c>
      <c r="DV270" s="102">
        <v>38.200000000000003</v>
      </c>
      <c r="DW270" s="53">
        <v>85.6</v>
      </c>
      <c r="DX270" s="53">
        <v>88.55</v>
      </c>
      <c r="DY270" s="53">
        <v>43.3553</v>
      </c>
      <c r="DZ270" s="63"/>
    </row>
    <row r="271" spans="1:130" s="5" customFormat="1" ht="14.25" customHeight="1">
      <c r="A271" s="45">
        <v>1226</v>
      </c>
      <c r="B271" s="46" t="s">
        <v>210</v>
      </c>
      <c r="C271" s="46">
        <v>2007</v>
      </c>
      <c r="D271" s="46" t="s">
        <v>244</v>
      </c>
      <c r="E271" s="46" t="s">
        <v>22</v>
      </c>
      <c r="F271" s="46">
        <v>4</v>
      </c>
      <c r="G271" s="48">
        <v>190000</v>
      </c>
      <c r="H271" s="46" t="s">
        <v>249</v>
      </c>
      <c r="I271" s="46">
        <v>1</v>
      </c>
      <c r="J271" s="46">
        <v>2</v>
      </c>
      <c r="K271" s="49" t="s">
        <v>253</v>
      </c>
      <c r="L271" s="49" t="s">
        <v>30</v>
      </c>
      <c r="M271" s="49" t="s">
        <v>29</v>
      </c>
      <c r="N271" s="49" t="s">
        <v>513</v>
      </c>
      <c r="O271" s="49"/>
      <c r="P271" s="49" t="s">
        <v>174</v>
      </c>
      <c r="Q271" s="49" t="s">
        <v>29</v>
      </c>
      <c r="R271" s="49">
        <v>0</v>
      </c>
      <c r="S271" s="50">
        <f t="shared" si="140"/>
        <v>0</v>
      </c>
      <c r="T271" s="49" t="str">
        <f>LEFT(V271,2)</f>
        <v xml:space="preserve">1 </v>
      </c>
      <c r="U271" s="50">
        <f t="shared" si="141"/>
        <v>50</v>
      </c>
      <c r="V271" s="49" t="s">
        <v>173</v>
      </c>
      <c r="W271" s="49">
        <v>0</v>
      </c>
      <c r="X271" s="50">
        <f t="shared" si="142"/>
        <v>0</v>
      </c>
      <c r="Y271" s="51" t="str">
        <f t="shared" si="143"/>
        <v>No</v>
      </c>
      <c r="Z271" s="49" t="s">
        <v>29</v>
      </c>
      <c r="AA271" s="49" t="s">
        <v>29</v>
      </c>
      <c r="AB271" s="49" t="s">
        <v>29</v>
      </c>
      <c r="AC271" s="46" t="s">
        <v>72</v>
      </c>
      <c r="AD271" s="46" t="s">
        <v>27</v>
      </c>
      <c r="AE271" s="46" t="s">
        <v>228</v>
      </c>
      <c r="AF271" s="46" t="s">
        <v>29</v>
      </c>
      <c r="AG271" s="103">
        <v>149465</v>
      </c>
      <c r="AH271" s="52">
        <v>130562</v>
      </c>
      <c r="AI271" s="52">
        <v>130562</v>
      </c>
      <c r="AJ271" s="102">
        <v>73.959999999999994</v>
      </c>
      <c r="AK271" s="104">
        <v>147.91999999999999</v>
      </c>
      <c r="AL271" s="102">
        <v>73.959999999999994</v>
      </c>
      <c r="AM271" s="102"/>
      <c r="AN271" s="53">
        <f t="shared" si="144"/>
        <v>147.91999999999999</v>
      </c>
      <c r="AO271" s="53">
        <v>26.14</v>
      </c>
      <c r="AP271" s="102">
        <v>18918</v>
      </c>
      <c r="AQ271" s="102">
        <v>12.657143812932794</v>
      </c>
      <c r="AR271" s="102">
        <v>362</v>
      </c>
      <c r="AS271" s="102">
        <v>0.6</v>
      </c>
      <c r="AT271" s="102"/>
      <c r="AU271" s="102"/>
      <c r="AV271" s="102"/>
      <c r="AW271" s="102"/>
      <c r="AX271" s="102"/>
      <c r="AY271" s="102"/>
      <c r="AZ271" s="102"/>
      <c r="BA271" s="102"/>
      <c r="BB271" s="102"/>
      <c r="BC271" s="102"/>
      <c r="BD271" s="102"/>
      <c r="BE271" s="102"/>
      <c r="BF271" s="102"/>
      <c r="BG271" s="102"/>
      <c r="BH271" s="102"/>
      <c r="BI271" s="102"/>
      <c r="BJ271" s="102"/>
      <c r="BK271" s="102"/>
      <c r="BL271" s="102"/>
      <c r="BM271" s="102"/>
      <c r="BN271" s="102"/>
      <c r="BO271" s="102"/>
      <c r="BP271" s="102"/>
      <c r="BQ271" s="102"/>
      <c r="BR271" s="102"/>
      <c r="BS271" s="54" t="s">
        <v>29</v>
      </c>
      <c r="BT271" s="45" t="str">
        <f t="shared" si="134"/>
        <v>No</v>
      </c>
      <c r="BU271" s="45" t="str">
        <f t="shared" si="135"/>
        <v>No</v>
      </c>
      <c r="BV271" s="45" t="str">
        <f t="shared" si="136"/>
        <v>No</v>
      </c>
      <c r="BW271" s="55">
        <f t="shared" si="138"/>
        <v>86.037296535224499</v>
      </c>
      <c r="BX271" s="55">
        <f t="shared" si="138"/>
        <v>86.037296535224499</v>
      </c>
      <c r="BY271" s="55">
        <v>82.402296535224508</v>
      </c>
      <c r="BZ271" s="55">
        <f t="shared" si="139"/>
        <v>82.402296535224494</v>
      </c>
      <c r="CA271" s="45">
        <v>2008</v>
      </c>
      <c r="CB271" s="55">
        <f t="shared" si="137"/>
        <v>22.327832407011545</v>
      </c>
      <c r="CC271" s="46" t="s">
        <v>490</v>
      </c>
      <c r="CD271" s="46" t="s">
        <v>71</v>
      </c>
      <c r="CE271" s="71" t="s">
        <v>783</v>
      </c>
      <c r="CF271" s="46">
        <v>1</v>
      </c>
      <c r="CG271" s="46" t="str">
        <f t="shared" si="145"/>
        <v>No</v>
      </c>
      <c r="CH271" s="46" t="s">
        <v>29</v>
      </c>
      <c r="CI271" s="56">
        <v>3800</v>
      </c>
      <c r="CJ271" s="46" t="s">
        <v>180</v>
      </c>
      <c r="CK271" s="79">
        <f>CI271*2</f>
        <v>7600</v>
      </c>
      <c r="CL271" s="49" t="s">
        <v>29</v>
      </c>
      <c r="CM271" s="102">
        <v>0</v>
      </c>
      <c r="CN271" s="102"/>
      <c r="CO271" s="102"/>
      <c r="CP271" s="46" t="s">
        <v>23</v>
      </c>
      <c r="CQ271" s="46" t="s">
        <v>23</v>
      </c>
      <c r="CR271" s="46">
        <v>11</v>
      </c>
      <c r="CS271" s="46" t="s">
        <v>855</v>
      </c>
      <c r="CT271" s="46" t="s">
        <v>963</v>
      </c>
      <c r="CU271" s="46" t="s">
        <v>213</v>
      </c>
      <c r="CV271" s="46">
        <v>0</v>
      </c>
      <c r="CW271" s="46">
        <v>1</v>
      </c>
      <c r="CX271" s="49" t="s">
        <v>215</v>
      </c>
      <c r="CY271" s="49" t="s">
        <v>223</v>
      </c>
      <c r="CZ271" s="49">
        <v>0</v>
      </c>
      <c r="DA271" s="49">
        <v>0</v>
      </c>
      <c r="DB271" s="57">
        <v>584750</v>
      </c>
      <c r="DC271" s="58">
        <v>48.78</v>
      </c>
      <c r="DD271" s="58">
        <v>6.5699999999999994</v>
      </c>
      <c r="DE271" s="58">
        <v>10.93</v>
      </c>
      <c r="DF271" s="58">
        <v>30.69</v>
      </c>
      <c r="DG271" s="58">
        <v>3.0299999999999994</v>
      </c>
      <c r="DH271" s="58">
        <v>51.22</v>
      </c>
      <c r="DI271" s="45" t="s">
        <v>35</v>
      </c>
      <c r="DJ271" s="59" t="str">
        <f t="shared" si="133"/>
        <v>No single majority group</v>
      </c>
      <c r="DK271" s="60">
        <v>584750</v>
      </c>
      <c r="DL271" s="58">
        <v>48.78</v>
      </c>
      <c r="DM271" s="58">
        <v>6.5699999999999994</v>
      </c>
      <c r="DN271" s="58">
        <v>10.93</v>
      </c>
      <c r="DO271" s="58">
        <v>51.22</v>
      </c>
      <c r="DP271" s="66">
        <v>48.35</v>
      </c>
      <c r="DQ271" s="67">
        <v>77287.320000000007</v>
      </c>
      <c r="DR271" s="53">
        <v>11.5</v>
      </c>
      <c r="DS271" s="58">
        <v>78.099999999999994</v>
      </c>
      <c r="DT271" s="53">
        <v>37.200000000000003</v>
      </c>
      <c r="DU271" s="105">
        <v>2.41</v>
      </c>
      <c r="DV271" s="102">
        <v>38.200000000000003</v>
      </c>
      <c r="DW271" s="53">
        <v>85.6</v>
      </c>
      <c r="DX271" s="53">
        <v>88.55</v>
      </c>
      <c r="DY271" s="53">
        <v>43.3553</v>
      </c>
      <c r="DZ271" s="63"/>
    </row>
    <row r="272" spans="1:130" s="5" customFormat="1" ht="14.25" customHeight="1">
      <c r="A272" s="45">
        <v>1218</v>
      </c>
      <c r="B272" s="46" t="s">
        <v>210</v>
      </c>
      <c r="C272" s="46">
        <v>2008</v>
      </c>
      <c r="D272" s="46" t="s">
        <v>219</v>
      </c>
      <c r="E272" s="46" t="s">
        <v>77</v>
      </c>
      <c r="F272" s="46">
        <v>4</v>
      </c>
      <c r="G272" s="48">
        <v>108000</v>
      </c>
      <c r="H272" s="46" t="s">
        <v>249</v>
      </c>
      <c r="I272" s="46">
        <v>1</v>
      </c>
      <c r="J272" s="46">
        <v>9</v>
      </c>
      <c r="K272" s="49" t="s">
        <v>232</v>
      </c>
      <c r="L272" s="49" t="s">
        <v>30</v>
      </c>
      <c r="M272" s="49" t="s">
        <v>29</v>
      </c>
      <c r="N272" s="49" t="s">
        <v>512</v>
      </c>
      <c r="O272" s="49"/>
      <c r="P272" s="49" t="s">
        <v>34</v>
      </c>
      <c r="Q272" s="49" t="s">
        <v>35</v>
      </c>
      <c r="R272" s="49">
        <v>2</v>
      </c>
      <c r="S272" s="50">
        <f t="shared" si="140"/>
        <v>22.222222222222221</v>
      </c>
      <c r="T272" s="49">
        <v>5</v>
      </c>
      <c r="U272" s="50">
        <f t="shared" si="141"/>
        <v>55.555555555555557</v>
      </c>
      <c r="V272" s="49" t="s">
        <v>888</v>
      </c>
      <c r="W272" s="49">
        <v>2</v>
      </c>
      <c r="X272" s="50">
        <f t="shared" si="142"/>
        <v>22.222222222222221</v>
      </c>
      <c r="Y272" s="51" t="str">
        <f t="shared" si="143"/>
        <v>No</v>
      </c>
      <c r="Z272" s="49" t="s">
        <v>35</v>
      </c>
      <c r="AA272" s="49" t="s">
        <v>23</v>
      </c>
      <c r="AB272" s="49" t="s">
        <v>23</v>
      </c>
      <c r="AC272" s="46" t="s">
        <v>225</v>
      </c>
      <c r="AD272" s="46" t="s">
        <v>27</v>
      </c>
      <c r="AE272" s="46" t="s">
        <v>89</v>
      </c>
      <c r="AF272" s="46" t="s">
        <v>29</v>
      </c>
      <c r="AG272" s="103">
        <v>31694</v>
      </c>
      <c r="AH272" s="52">
        <v>28686</v>
      </c>
      <c r="AI272" s="52">
        <v>28686</v>
      </c>
      <c r="AJ272" s="102">
        <v>40.520000000000003</v>
      </c>
      <c r="AK272" s="104">
        <v>81.040000000000006</v>
      </c>
      <c r="AL272" s="102">
        <v>50.67</v>
      </c>
      <c r="AM272" s="102"/>
      <c r="AN272" s="53">
        <f t="shared" si="144"/>
        <v>101.34</v>
      </c>
      <c r="AO272" s="53">
        <v>33.93</v>
      </c>
      <c r="AP272" s="102">
        <v>2696</v>
      </c>
      <c r="AQ272" s="102">
        <v>8.5</v>
      </c>
      <c r="AR272" s="50">
        <v>332</v>
      </c>
      <c r="AS272" s="102">
        <v>1.1000000000000001</v>
      </c>
      <c r="AT272" s="102">
        <v>242</v>
      </c>
      <c r="AU272" s="102">
        <v>0.8</v>
      </c>
      <c r="AV272" s="102">
        <v>18</v>
      </c>
      <c r="AW272" s="102">
        <v>0.1</v>
      </c>
      <c r="AX272" s="50">
        <v>2311</v>
      </c>
      <c r="AY272" s="50">
        <v>8</v>
      </c>
      <c r="AZ272" s="102"/>
      <c r="BA272" s="102"/>
      <c r="BB272" s="102"/>
      <c r="BC272" s="102"/>
      <c r="BD272" s="50">
        <v>131</v>
      </c>
      <c r="BE272" s="50">
        <v>0.5</v>
      </c>
      <c r="BF272" s="50">
        <v>2736</v>
      </c>
      <c r="BG272" s="50">
        <v>9.4</v>
      </c>
      <c r="BH272" s="102">
        <v>2781</v>
      </c>
      <c r="BI272" s="102">
        <v>9.67</v>
      </c>
      <c r="BJ272" s="102">
        <v>1429</v>
      </c>
      <c r="BK272" s="102">
        <v>5</v>
      </c>
      <c r="BL272" s="102">
        <v>1352</v>
      </c>
      <c r="BM272" s="102">
        <v>4.7</v>
      </c>
      <c r="BN272" s="102"/>
      <c r="BO272" s="50"/>
      <c r="BP272" s="50"/>
      <c r="BQ272" s="50"/>
      <c r="BR272" s="102" t="s">
        <v>967</v>
      </c>
      <c r="BS272" s="54" t="s">
        <v>29</v>
      </c>
      <c r="BT272" s="45" t="str">
        <f t="shared" si="134"/>
        <v>Yes</v>
      </c>
      <c r="BU272" s="45" t="str">
        <f t="shared" si="135"/>
        <v>Yes</v>
      </c>
      <c r="BV272" s="45" t="str">
        <f t="shared" si="136"/>
        <v>No</v>
      </c>
      <c r="BW272" s="55">
        <f t="shared" ref="BW272:BW287" si="146">(322220 /(322220 +52292 ))*100</f>
        <v>86.037296535224499</v>
      </c>
      <c r="BX272" s="55">
        <v>82.585667794014412</v>
      </c>
      <c r="BY272" s="55">
        <v>82.402296535224508</v>
      </c>
      <c r="BZ272" s="55">
        <f t="shared" si="139"/>
        <v>78.950667794014407</v>
      </c>
      <c r="CA272" s="45">
        <v>2008</v>
      </c>
      <c r="CB272" s="55">
        <f t="shared" si="137"/>
        <v>53.227691908040008</v>
      </c>
      <c r="CC272" s="46" t="s">
        <v>490</v>
      </c>
      <c r="CD272" s="46" t="s">
        <v>71</v>
      </c>
      <c r="CE272" s="71" t="s">
        <v>783</v>
      </c>
      <c r="CF272" s="46">
        <v>1</v>
      </c>
      <c r="CG272" s="46" t="str">
        <f t="shared" si="145"/>
        <v>No</v>
      </c>
      <c r="CH272" s="46" t="s">
        <v>35</v>
      </c>
      <c r="CI272" s="56">
        <v>500</v>
      </c>
      <c r="CJ272" s="46" t="s">
        <v>180</v>
      </c>
      <c r="CK272" s="79">
        <v>1000</v>
      </c>
      <c r="CL272" s="49" t="s">
        <v>35</v>
      </c>
      <c r="CM272" s="50">
        <f>(3/9)*100</f>
        <v>33.333333333333329</v>
      </c>
      <c r="CN272" s="50"/>
      <c r="CO272" s="50"/>
      <c r="CP272" s="46" t="s">
        <v>23</v>
      </c>
      <c r="CQ272" s="46" t="s">
        <v>24</v>
      </c>
      <c r="CR272" s="46">
        <v>11</v>
      </c>
      <c r="CS272" s="46" t="s">
        <v>855</v>
      </c>
      <c r="CT272" s="46" t="s">
        <v>856</v>
      </c>
      <c r="CU272" s="46" t="s">
        <v>213</v>
      </c>
      <c r="CV272" s="46" t="s">
        <v>23</v>
      </c>
      <c r="CW272" s="46">
        <v>2</v>
      </c>
      <c r="CX272" s="49" t="s">
        <v>923</v>
      </c>
      <c r="CY272" s="49" t="s">
        <v>261</v>
      </c>
      <c r="CZ272" s="49">
        <v>0</v>
      </c>
      <c r="DA272" s="49">
        <v>0</v>
      </c>
      <c r="DB272" s="64">
        <v>53893</v>
      </c>
      <c r="DC272" s="58">
        <v>45.18</v>
      </c>
      <c r="DD272" s="58">
        <v>2.4899999999999998</v>
      </c>
      <c r="DE272" s="58">
        <v>5.52</v>
      </c>
      <c r="DF272" s="58">
        <v>43.2</v>
      </c>
      <c r="DG272" s="58">
        <v>3.5999999999999996</v>
      </c>
      <c r="DH272" s="58">
        <v>54.82</v>
      </c>
      <c r="DI272" s="45" t="s">
        <v>35</v>
      </c>
      <c r="DJ272" s="59" t="str">
        <f t="shared" si="133"/>
        <v>No single majority group</v>
      </c>
      <c r="DK272" s="65">
        <v>53893</v>
      </c>
      <c r="DL272" s="58">
        <v>45.18</v>
      </c>
      <c r="DM272" s="58">
        <v>2.4899999999999998</v>
      </c>
      <c r="DN272" s="58">
        <v>5.52</v>
      </c>
      <c r="DO272" s="58">
        <v>54.82</v>
      </c>
      <c r="DP272" s="66">
        <v>48.7</v>
      </c>
      <c r="DQ272" s="67">
        <v>77412.33</v>
      </c>
      <c r="DR272" s="53">
        <v>11.9</v>
      </c>
      <c r="DS272" s="58">
        <v>78.3</v>
      </c>
      <c r="DT272" s="53">
        <v>37.5</v>
      </c>
      <c r="DU272" s="55">
        <v>2.31</v>
      </c>
      <c r="DV272" s="102">
        <v>38.299999999999997</v>
      </c>
      <c r="DW272" s="53">
        <v>85.7</v>
      </c>
      <c r="DX272" s="53">
        <v>86.32</v>
      </c>
      <c r="DY272" s="53">
        <v>43.616199999999999</v>
      </c>
      <c r="DZ272" s="63"/>
    </row>
    <row r="273" spans="1:130" s="5" customFormat="1" ht="14.25" customHeight="1">
      <c r="A273" s="45">
        <v>1219</v>
      </c>
      <c r="B273" s="46" t="s">
        <v>210</v>
      </c>
      <c r="C273" s="46">
        <v>2008</v>
      </c>
      <c r="D273" s="46" t="s">
        <v>219</v>
      </c>
      <c r="E273" s="46" t="s">
        <v>95</v>
      </c>
      <c r="F273" s="46">
        <v>4</v>
      </c>
      <c r="G273" s="48">
        <v>108000</v>
      </c>
      <c r="H273" s="46" t="s">
        <v>249</v>
      </c>
      <c r="I273" s="46">
        <v>1</v>
      </c>
      <c r="J273" s="46">
        <v>9</v>
      </c>
      <c r="K273" s="49" t="s">
        <v>233</v>
      </c>
      <c r="L273" s="49" t="s">
        <v>30</v>
      </c>
      <c r="M273" s="49" t="s">
        <v>29</v>
      </c>
      <c r="N273" s="49" t="s">
        <v>512</v>
      </c>
      <c r="O273" s="49"/>
      <c r="P273" s="49" t="s">
        <v>34</v>
      </c>
      <c r="Q273" s="49" t="s">
        <v>35</v>
      </c>
      <c r="R273" s="45">
        <v>4</v>
      </c>
      <c r="S273" s="50">
        <f t="shared" si="140"/>
        <v>44.444444444444443</v>
      </c>
      <c r="T273" s="49" t="str">
        <f>LEFT(V273,2)</f>
        <v xml:space="preserve">3 </v>
      </c>
      <c r="U273" s="50">
        <f t="shared" si="141"/>
        <v>33.333333333333329</v>
      </c>
      <c r="V273" s="49" t="s">
        <v>779</v>
      </c>
      <c r="W273" s="49">
        <v>2</v>
      </c>
      <c r="X273" s="50">
        <f t="shared" si="142"/>
        <v>22.222222222222221</v>
      </c>
      <c r="Y273" s="51" t="str">
        <f t="shared" si="143"/>
        <v>No</v>
      </c>
      <c r="Z273" s="49" t="s">
        <v>35</v>
      </c>
      <c r="AA273" s="49" t="s">
        <v>23</v>
      </c>
      <c r="AB273" s="49" t="s">
        <v>23</v>
      </c>
      <c r="AC273" s="46" t="s">
        <v>128</v>
      </c>
      <c r="AD273" s="46" t="s">
        <v>27</v>
      </c>
      <c r="AE273" s="46" t="s">
        <v>89</v>
      </c>
      <c r="AF273" s="46" t="s">
        <v>29</v>
      </c>
      <c r="AG273" s="103">
        <v>30086</v>
      </c>
      <c r="AH273" s="52">
        <v>27067</v>
      </c>
      <c r="AI273" s="52">
        <v>27067</v>
      </c>
      <c r="AJ273" s="102">
        <v>37.72</v>
      </c>
      <c r="AK273" s="104">
        <v>75.44</v>
      </c>
      <c r="AL273" s="102">
        <v>59.37</v>
      </c>
      <c r="AM273" s="102"/>
      <c r="AN273" s="53">
        <f t="shared" si="144"/>
        <v>118.74</v>
      </c>
      <c r="AO273" s="53">
        <v>23.16</v>
      </c>
      <c r="AP273" s="102">
        <v>2604</v>
      </c>
      <c r="AQ273" s="102">
        <v>8.6999999999999993</v>
      </c>
      <c r="AR273" s="102">
        <v>370</v>
      </c>
      <c r="AS273" s="102">
        <v>1.3</v>
      </c>
      <c r="AT273" s="102">
        <v>284</v>
      </c>
      <c r="AU273" s="102">
        <v>1</v>
      </c>
      <c r="AV273" s="102">
        <v>32</v>
      </c>
      <c r="AW273" s="102">
        <v>0.1</v>
      </c>
      <c r="AX273" s="102">
        <v>1892</v>
      </c>
      <c r="AY273" s="102">
        <v>6.9</v>
      </c>
      <c r="AZ273" s="102"/>
      <c r="BA273" s="102"/>
      <c r="BB273" s="102"/>
      <c r="BC273" s="102"/>
      <c r="BD273" s="102">
        <v>209</v>
      </c>
      <c r="BE273" s="102">
        <v>0.8</v>
      </c>
      <c r="BF273" s="102">
        <v>2409</v>
      </c>
      <c r="BG273" s="102">
        <v>8.8000000000000007</v>
      </c>
      <c r="BH273" s="102">
        <v>4291</v>
      </c>
      <c r="BI273" s="102">
        <v>15.78</v>
      </c>
      <c r="BJ273" s="102">
        <v>2325</v>
      </c>
      <c r="BK273" s="102">
        <v>8.5</v>
      </c>
      <c r="BL273" s="102">
        <v>1966</v>
      </c>
      <c r="BM273" s="102">
        <v>7.2</v>
      </c>
      <c r="BN273" s="102"/>
      <c r="BO273" s="102"/>
      <c r="BP273" s="102"/>
      <c r="BQ273" s="102"/>
      <c r="BR273" s="102" t="s">
        <v>967</v>
      </c>
      <c r="BS273" s="54" t="s">
        <v>29</v>
      </c>
      <c r="BT273" s="45" t="str">
        <f t="shared" si="134"/>
        <v>Yes</v>
      </c>
      <c r="BU273" s="45" t="str">
        <f t="shared" si="135"/>
        <v>No</v>
      </c>
      <c r="BV273" s="45" t="str">
        <f t="shared" si="136"/>
        <v>No</v>
      </c>
      <c r="BW273" s="55">
        <f t="shared" si="146"/>
        <v>86.037296535224499</v>
      </c>
      <c r="BX273" s="55">
        <v>84.8876945025049</v>
      </c>
      <c r="BY273" s="55">
        <v>82.402296535224508</v>
      </c>
      <c r="BZ273" s="55">
        <f t="shared" si="139"/>
        <v>81.252694502504895</v>
      </c>
      <c r="CA273" s="45">
        <v>2008</v>
      </c>
      <c r="CB273" s="55">
        <f t="shared" si="137"/>
        <v>52.182379024484284</v>
      </c>
      <c r="CC273" s="46" t="s">
        <v>490</v>
      </c>
      <c r="CD273" s="46" t="s">
        <v>71</v>
      </c>
      <c r="CE273" s="71" t="s">
        <v>783</v>
      </c>
      <c r="CF273" s="46">
        <v>1</v>
      </c>
      <c r="CG273" s="46" t="str">
        <f t="shared" si="145"/>
        <v>No</v>
      </c>
      <c r="CH273" s="46" t="s">
        <v>35</v>
      </c>
      <c r="CI273" s="56">
        <v>500</v>
      </c>
      <c r="CJ273" s="46" t="s">
        <v>180</v>
      </c>
      <c r="CK273" s="79">
        <v>1000</v>
      </c>
      <c r="CL273" s="49" t="s">
        <v>35</v>
      </c>
      <c r="CM273" s="50">
        <f>(3/9)*100</f>
        <v>33.333333333333329</v>
      </c>
      <c r="CN273" s="50"/>
      <c r="CO273" s="50"/>
      <c r="CP273" s="46" t="s">
        <v>23</v>
      </c>
      <c r="CQ273" s="46" t="s">
        <v>24</v>
      </c>
      <c r="CR273" s="46">
        <v>11</v>
      </c>
      <c r="CS273" s="46" t="s">
        <v>855</v>
      </c>
      <c r="CT273" s="46" t="s">
        <v>856</v>
      </c>
      <c r="CU273" s="46" t="s">
        <v>213</v>
      </c>
      <c r="CV273" s="46" t="s">
        <v>23</v>
      </c>
      <c r="CW273" s="46">
        <v>2</v>
      </c>
      <c r="CX273" s="49" t="s">
        <v>923</v>
      </c>
      <c r="CY273" s="49" t="s">
        <v>261</v>
      </c>
      <c r="CZ273" s="49">
        <v>0</v>
      </c>
      <c r="DA273" s="49">
        <v>0</v>
      </c>
      <c r="DB273" s="64">
        <v>51870</v>
      </c>
      <c r="DC273" s="58">
        <v>48.85</v>
      </c>
      <c r="DD273" s="58">
        <v>2.79</v>
      </c>
      <c r="DE273" s="58">
        <v>5.52</v>
      </c>
      <c r="DF273" s="58">
        <v>40.229999999999997</v>
      </c>
      <c r="DG273" s="58">
        <v>2.6</v>
      </c>
      <c r="DH273" s="58">
        <v>51.150000000000006</v>
      </c>
      <c r="DI273" s="45" t="s">
        <v>35</v>
      </c>
      <c r="DJ273" s="59" t="str">
        <f t="shared" si="133"/>
        <v>No single majority group</v>
      </c>
      <c r="DK273" s="65">
        <v>51870</v>
      </c>
      <c r="DL273" s="58">
        <v>48.85</v>
      </c>
      <c r="DM273" s="58">
        <v>2.79</v>
      </c>
      <c r="DN273" s="58">
        <v>5.52</v>
      </c>
      <c r="DO273" s="58">
        <v>51.150000000000006</v>
      </c>
      <c r="DP273" s="66">
        <v>48.7</v>
      </c>
      <c r="DQ273" s="67">
        <v>77412.33</v>
      </c>
      <c r="DR273" s="53">
        <v>11.9</v>
      </c>
      <c r="DS273" s="58">
        <v>78.3</v>
      </c>
      <c r="DT273" s="53">
        <v>37.5</v>
      </c>
      <c r="DU273" s="55">
        <v>2.31</v>
      </c>
      <c r="DV273" s="102">
        <v>38.299999999999997</v>
      </c>
      <c r="DW273" s="53">
        <v>85.7</v>
      </c>
      <c r="DX273" s="53">
        <v>86.32</v>
      </c>
      <c r="DY273" s="53">
        <v>43.616199999999999</v>
      </c>
      <c r="DZ273" s="63"/>
    </row>
    <row r="274" spans="1:130" s="5" customFormat="1" ht="14.25" customHeight="1">
      <c r="A274" s="45">
        <v>1220</v>
      </c>
      <c r="B274" s="46" t="s">
        <v>210</v>
      </c>
      <c r="C274" s="46">
        <v>2008</v>
      </c>
      <c r="D274" s="46" t="s">
        <v>219</v>
      </c>
      <c r="E274" s="46" t="s">
        <v>80</v>
      </c>
      <c r="F274" s="46">
        <v>2</v>
      </c>
      <c r="G274" s="48">
        <v>108000</v>
      </c>
      <c r="H274" s="46" t="s">
        <v>249</v>
      </c>
      <c r="I274" s="46">
        <v>1</v>
      </c>
      <c r="J274" s="46">
        <v>3</v>
      </c>
      <c r="K274" s="49" t="s">
        <v>214</v>
      </c>
      <c r="L274" s="49" t="s">
        <v>40</v>
      </c>
      <c r="M274" s="49" t="s">
        <v>35</v>
      </c>
      <c r="N274" s="49" t="s">
        <v>513</v>
      </c>
      <c r="O274" s="49"/>
      <c r="P274" s="49" t="s">
        <v>34</v>
      </c>
      <c r="Q274" s="49" t="s">
        <v>35</v>
      </c>
      <c r="R274" s="49">
        <v>1</v>
      </c>
      <c r="S274" s="50">
        <f t="shared" si="140"/>
        <v>33.333333333333329</v>
      </c>
      <c r="T274" s="49">
        <v>2</v>
      </c>
      <c r="U274" s="50">
        <f t="shared" si="141"/>
        <v>66.666666666666657</v>
      </c>
      <c r="V274" s="49" t="s">
        <v>780</v>
      </c>
      <c r="W274" s="49">
        <v>1</v>
      </c>
      <c r="X274" s="50">
        <f t="shared" si="142"/>
        <v>33.333333333333329</v>
      </c>
      <c r="Y274" s="51" t="str">
        <f t="shared" si="143"/>
        <v>Yes</v>
      </c>
      <c r="Z274" s="49" t="s">
        <v>29</v>
      </c>
      <c r="AA274" s="49" t="s">
        <v>35</v>
      </c>
      <c r="AB274" s="45" t="s">
        <v>35</v>
      </c>
      <c r="AC274" s="46" t="s">
        <v>72</v>
      </c>
      <c r="AD274" s="46" t="s">
        <v>27</v>
      </c>
      <c r="AE274" s="46" t="s">
        <v>89</v>
      </c>
      <c r="AF274" s="46" t="s">
        <v>29</v>
      </c>
      <c r="AG274" s="103">
        <v>31628</v>
      </c>
      <c r="AH274" s="52">
        <v>29316</v>
      </c>
      <c r="AI274" s="52">
        <v>29316</v>
      </c>
      <c r="AJ274" s="102">
        <v>52.37</v>
      </c>
      <c r="AK274" s="104">
        <v>104.74</v>
      </c>
      <c r="AL274" s="102">
        <v>52.37</v>
      </c>
      <c r="AM274" s="102"/>
      <c r="AN274" s="53">
        <f t="shared" si="144"/>
        <v>104.74</v>
      </c>
      <c r="AO274" s="53">
        <v>35.15</v>
      </c>
      <c r="AP274" s="102">
        <v>2106</v>
      </c>
      <c r="AQ274" s="102">
        <v>6.7</v>
      </c>
      <c r="AR274" s="102">
        <v>150</v>
      </c>
      <c r="AS274" s="102">
        <v>0.5</v>
      </c>
      <c r="AT274" s="102">
        <v>83</v>
      </c>
      <c r="AU274" s="102">
        <v>0.3</v>
      </c>
      <c r="AV274" s="102"/>
      <c r="AW274" s="102"/>
      <c r="AX274" s="102">
        <v>4160</v>
      </c>
      <c r="AY274" s="102">
        <v>14.1</v>
      </c>
      <c r="AZ274" s="102"/>
      <c r="BA274" s="102"/>
      <c r="BB274" s="102"/>
      <c r="BC274" s="102"/>
      <c r="BD274" s="102">
        <v>191</v>
      </c>
      <c r="BE274" s="102">
        <v>0.6</v>
      </c>
      <c r="BF274" s="102">
        <v>4451</v>
      </c>
      <c r="BG274" s="102">
        <v>15.1</v>
      </c>
      <c r="BH274" s="102">
        <v>0</v>
      </c>
      <c r="BI274" s="102">
        <v>0</v>
      </c>
      <c r="BJ274" s="102"/>
      <c r="BK274" s="102"/>
      <c r="BL274" s="102"/>
      <c r="BM274" s="102"/>
      <c r="BN274" s="102"/>
      <c r="BO274" s="102"/>
      <c r="BP274" s="102"/>
      <c r="BQ274" s="102"/>
      <c r="BR274" s="102" t="s">
        <v>967</v>
      </c>
      <c r="BS274" s="54" t="s">
        <v>29</v>
      </c>
      <c r="BT274" s="45" t="str">
        <f t="shared" si="134"/>
        <v>Yes</v>
      </c>
      <c r="BU274" s="45" t="str">
        <f t="shared" si="135"/>
        <v>Yes</v>
      </c>
      <c r="BV274" s="45" t="str">
        <f t="shared" si="136"/>
        <v>No</v>
      </c>
      <c r="BW274" s="55">
        <f t="shared" si="146"/>
        <v>86.037296535224499</v>
      </c>
      <c r="BX274" s="55">
        <v>78.34401118735569</v>
      </c>
      <c r="BY274" s="55">
        <v>82.402296535224508</v>
      </c>
      <c r="BZ274" s="55">
        <f t="shared" si="139"/>
        <v>74.709011187355685</v>
      </c>
      <c r="CA274" s="45">
        <v>2008</v>
      </c>
      <c r="CB274" s="55">
        <f t="shared" si="137"/>
        <v>54.852652259332025</v>
      </c>
      <c r="CC274" s="46" t="s">
        <v>490</v>
      </c>
      <c r="CD274" s="46" t="s">
        <v>71</v>
      </c>
      <c r="CE274" s="71" t="s">
        <v>783</v>
      </c>
      <c r="CF274" s="46">
        <v>1</v>
      </c>
      <c r="CG274" s="46" t="str">
        <f t="shared" si="145"/>
        <v>No</v>
      </c>
      <c r="CH274" s="46" t="s">
        <v>35</v>
      </c>
      <c r="CI274" s="56">
        <v>500</v>
      </c>
      <c r="CJ274" s="46" t="s">
        <v>180</v>
      </c>
      <c r="CK274" s="79">
        <v>1000</v>
      </c>
      <c r="CL274" s="49" t="s">
        <v>35</v>
      </c>
      <c r="CM274" s="50">
        <f>(1/3)*100</f>
        <v>33.333333333333329</v>
      </c>
      <c r="CN274" s="50"/>
      <c r="CO274" s="50"/>
      <c r="CP274" s="46" t="s">
        <v>23</v>
      </c>
      <c r="CQ274" s="46" t="s">
        <v>24</v>
      </c>
      <c r="CR274" s="46">
        <v>11</v>
      </c>
      <c r="CS274" s="46" t="s">
        <v>855</v>
      </c>
      <c r="CT274" s="46" t="s">
        <v>856</v>
      </c>
      <c r="CU274" s="46" t="s">
        <v>213</v>
      </c>
      <c r="CV274" s="46" t="s">
        <v>23</v>
      </c>
      <c r="CW274" s="46">
        <v>2</v>
      </c>
      <c r="CX274" s="49" t="s">
        <v>923</v>
      </c>
      <c r="CY274" s="49" t="s">
        <v>261</v>
      </c>
      <c r="CZ274" s="49">
        <v>0</v>
      </c>
      <c r="DA274" s="49">
        <v>0</v>
      </c>
      <c r="DB274" s="64">
        <v>53445</v>
      </c>
      <c r="DC274" s="58">
        <v>36.61</v>
      </c>
      <c r="DD274" s="58">
        <v>0.77</v>
      </c>
      <c r="DE274" s="58">
        <v>5.42</v>
      </c>
      <c r="DF274" s="58">
        <v>54.55</v>
      </c>
      <c r="DG274" s="58">
        <v>2.6</v>
      </c>
      <c r="DH274" s="58">
        <v>63.39</v>
      </c>
      <c r="DI274" s="45" t="s">
        <v>35</v>
      </c>
      <c r="DJ274" s="59" t="str">
        <f t="shared" si="133"/>
        <v>Asian</v>
      </c>
      <c r="DK274" s="65">
        <v>53445</v>
      </c>
      <c r="DL274" s="58">
        <v>36.61</v>
      </c>
      <c r="DM274" s="58">
        <v>0.77</v>
      </c>
      <c r="DN274" s="58">
        <v>5.42</v>
      </c>
      <c r="DO274" s="58">
        <v>63.39</v>
      </c>
      <c r="DP274" s="66">
        <v>48.7</v>
      </c>
      <c r="DQ274" s="67">
        <v>77412.33</v>
      </c>
      <c r="DR274" s="53">
        <v>11.9</v>
      </c>
      <c r="DS274" s="58">
        <v>78.3</v>
      </c>
      <c r="DT274" s="53">
        <v>37.5</v>
      </c>
      <c r="DU274" s="55">
        <v>2.31</v>
      </c>
      <c r="DV274" s="102">
        <v>38.299999999999997</v>
      </c>
      <c r="DW274" s="53">
        <v>85.7</v>
      </c>
      <c r="DX274" s="53">
        <v>86.32</v>
      </c>
      <c r="DY274" s="53">
        <v>43.616199999999999</v>
      </c>
      <c r="DZ274" s="78" t="s">
        <v>935</v>
      </c>
    </row>
    <row r="275" spans="1:130" s="5" customFormat="1" ht="14.25" customHeight="1">
      <c r="A275" s="45">
        <v>1221</v>
      </c>
      <c r="B275" s="46" t="s">
        <v>210</v>
      </c>
      <c r="C275" s="46">
        <v>2008</v>
      </c>
      <c r="D275" s="46" t="s">
        <v>219</v>
      </c>
      <c r="E275" s="46" t="s">
        <v>98</v>
      </c>
      <c r="F275" s="46">
        <v>4</v>
      </c>
      <c r="G275" s="48">
        <v>108000</v>
      </c>
      <c r="H275" s="46" t="s">
        <v>249</v>
      </c>
      <c r="I275" s="46">
        <v>1</v>
      </c>
      <c r="J275" s="46">
        <v>3</v>
      </c>
      <c r="K275" s="49" t="s">
        <v>245</v>
      </c>
      <c r="L275" s="49" t="s">
        <v>30</v>
      </c>
      <c r="M275" s="49" t="s">
        <v>29</v>
      </c>
      <c r="N275" s="49" t="s">
        <v>513</v>
      </c>
      <c r="O275" s="49"/>
      <c r="P275" s="49" t="s">
        <v>912</v>
      </c>
      <c r="Q275" s="49" t="s">
        <v>35</v>
      </c>
      <c r="R275" s="49">
        <v>0</v>
      </c>
      <c r="S275" s="50">
        <f t="shared" si="140"/>
        <v>0</v>
      </c>
      <c r="T275" s="49" t="str">
        <f>LEFT(V275,2)</f>
        <v xml:space="preserve">1 </v>
      </c>
      <c r="U275" s="50">
        <f t="shared" si="141"/>
        <v>33.333333333333329</v>
      </c>
      <c r="V275" s="49" t="s">
        <v>784</v>
      </c>
      <c r="W275" s="49">
        <v>0</v>
      </c>
      <c r="X275" s="50">
        <f t="shared" si="142"/>
        <v>0</v>
      </c>
      <c r="Y275" s="51" t="str">
        <f t="shared" si="143"/>
        <v>No</v>
      </c>
      <c r="Z275" s="49" t="s">
        <v>29</v>
      </c>
      <c r="AA275" s="49" t="s">
        <v>35</v>
      </c>
      <c r="AB275" s="49" t="s">
        <v>29</v>
      </c>
      <c r="AC275" s="46" t="s">
        <v>72</v>
      </c>
      <c r="AD275" s="46" t="s">
        <v>27</v>
      </c>
      <c r="AE275" s="46" t="s">
        <v>89</v>
      </c>
      <c r="AF275" s="46" t="s">
        <v>29</v>
      </c>
      <c r="AG275" s="103">
        <v>41175</v>
      </c>
      <c r="AH275" s="52">
        <v>35513</v>
      </c>
      <c r="AI275" s="52">
        <v>35513</v>
      </c>
      <c r="AJ275" s="102">
        <v>77.39</v>
      </c>
      <c r="AK275" s="104">
        <v>154.78</v>
      </c>
      <c r="AL275" s="102">
        <v>77.39</v>
      </c>
      <c r="AM275" s="102"/>
      <c r="AN275" s="53">
        <f t="shared" si="144"/>
        <v>154.78</v>
      </c>
      <c r="AO275" s="53">
        <v>16.760000000000002</v>
      </c>
      <c r="AP275" s="102">
        <v>5567</v>
      </c>
      <c r="AQ275" s="102">
        <v>13.520340012143292</v>
      </c>
      <c r="AR275" s="102">
        <v>95</v>
      </c>
      <c r="AS275" s="108">
        <f>AR275/AI275 *100</f>
        <v>0.26750767324641683</v>
      </c>
      <c r="AT275" s="108"/>
      <c r="AU275" s="108"/>
      <c r="AV275" s="102"/>
      <c r="AW275" s="102"/>
      <c r="AX275" s="102"/>
      <c r="AY275" s="102"/>
      <c r="AZ275" s="102"/>
      <c r="BA275" s="102"/>
      <c r="BB275" s="102"/>
      <c r="BC275" s="102"/>
      <c r="BD275" s="102"/>
      <c r="BE275" s="102"/>
      <c r="BF275" s="102"/>
      <c r="BG275" s="102"/>
      <c r="BH275" s="102"/>
      <c r="BI275" s="102" t="s">
        <v>958</v>
      </c>
      <c r="BJ275" s="102"/>
      <c r="BK275" s="102"/>
      <c r="BL275" s="102"/>
      <c r="BM275" s="102"/>
      <c r="BN275" s="102"/>
      <c r="BO275" s="102"/>
      <c r="BP275" s="102"/>
      <c r="BQ275" s="102"/>
      <c r="BR275" s="102"/>
      <c r="BS275" s="54" t="s">
        <v>29</v>
      </c>
      <c r="BT275" s="45" t="str">
        <f t="shared" si="134"/>
        <v>No</v>
      </c>
      <c r="BU275" s="45" t="str">
        <f t="shared" si="135"/>
        <v>No</v>
      </c>
      <c r="BV275" s="45" t="str">
        <f t="shared" si="136"/>
        <v>No</v>
      </c>
      <c r="BW275" s="55">
        <f t="shared" si="146"/>
        <v>86.037296535224499</v>
      </c>
      <c r="BX275" s="55">
        <v>92.882766537523324</v>
      </c>
      <c r="BY275" s="55">
        <v>82.402296535224508</v>
      </c>
      <c r="BZ275" s="55">
        <f t="shared" si="139"/>
        <v>89.247766537523319</v>
      </c>
      <c r="CA275" s="45">
        <v>2008</v>
      </c>
      <c r="CB275" s="55">
        <f t="shared" si="137"/>
        <v>62.229270344150834</v>
      </c>
      <c r="CC275" s="46" t="s">
        <v>490</v>
      </c>
      <c r="CD275" s="46" t="s">
        <v>71</v>
      </c>
      <c r="CE275" s="71" t="s">
        <v>783</v>
      </c>
      <c r="CF275" s="46">
        <v>1</v>
      </c>
      <c r="CG275" s="46" t="str">
        <f t="shared" si="145"/>
        <v>No</v>
      </c>
      <c r="CH275" s="46" t="s">
        <v>35</v>
      </c>
      <c r="CI275" s="56">
        <v>500</v>
      </c>
      <c r="CJ275" s="46" t="s">
        <v>180</v>
      </c>
      <c r="CK275" s="79">
        <v>1000</v>
      </c>
      <c r="CL275" s="49" t="s">
        <v>35</v>
      </c>
      <c r="CM275" s="102">
        <f>(2/3)*100</f>
        <v>66.666666666666657</v>
      </c>
      <c r="CN275" s="102"/>
      <c r="CO275" s="102"/>
      <c r="CP275" s="46" t="s">
        <v>23</v>
      </c>
      <c r="CQ275" s="46" t="s">
        <v>24</v>
      </c>
      <c r="CR275" s="46">
        <v>11</v>
      </c>
      <c r="CS275" s="46" t="s">
        <v>855</v>
      </c>
      <c r="CT275" s="46" t="s">
        <v>856</v>
      </c>
      <c r="CU275" s="46" t="s">
        <v>213</v>
      </c>
      <c r="CV275" s="46" t="s">
        <v>23</v>
      </c>
      <c r="CW275" s="46">
        <v>2</v>
      </c>
      <c r="CX275" s="49" t="s">
        <v>923</v>
      </c>
      <c r="CY275" s="49" t="s">
        <v>261</v>
      </c>
      <c r="CZ275" s="49">
        <v>0</v>
      </c>
      <c r="DA275" s="49">
        <v>0</v>
      </c>
      <c r="DB275" s="64">
        <v>57068</v>
      </c>
      <c r="DC275" s="58">
        <v>60.5</v>
      </c>
      <c r="DD275" s="58">
        <v>13.900000000000002</v>
      </c>
      <c r="DE275" s="58">
        <v>7.7399999999999993</v>
      </c>
      <c r="DF275" s="58">
        <v>14.77</v>
      </c>
      <c r="DG275" s="58">
        <v>3.1</v>
      </c>
      <c r="DH275" s="58">
        <v>39.5</v>
      </c>
      <c r="DI275" s="45" t="s">
        <v>29</v>
      </c>
      <c r="DJ275" s="59" t="str">
        <f t="shared" si="133"/>
        <v>N/A</v>
      </c>
      <c r="DK275" s="65">
        <v>57068</v>
      </c>
      <c r="DL275" s="58">
        <v>60.5</v>
      </c>
      <c r="DM275" s="58">
        <v>13.900000000000002</v>
      </c>
      <c r="DN275" s="58">
        <v>7.7399999999999993</v>
      </c>
      <c r="DO275" s="58">
        <v>39.5</v>
      </c>
      <c r="DP275" s="66">
        <v>48.7</v>
      </c>
      <c r="DQ275" s="67">
        <v>77412.33</v>
      </c>
      <c r="DR275" s="53">
        <v>11.9</v>
      </c>
      <c r="DS275" s="58">
        <v>78.3</v>
      </c>
      <c r="DT275" s="53">
        <v>37.5</v>
      </c>
      <c r="DU275" s="105">
        <v>2.31</v>
      </c>
      <c r="DV275" s="102">
        <v>38.299999999999997</v>
      </c>
      <c r="DW275" s="53">
        <v>85.7</v>
      </c>
      <c r="DX275" s="53">
        <v>86.32</v>
      </c>
      <c r="DY275" s="53">
        <v>43.616199999999999</v>
      </c>
      <c r="DZ275" s="63"/>
    </row>
    <row r="276" spans="1:130" s="5" customFormat="1" ht="14.25" customHeight="1">
      <c r="A276" s="45">
        <v>1222</v>
      </c>
      <c r="B276" s="46" t="s">
        <v>210</v>
      </c>
      <c r="C276" s="46">
        <v>2008</v>
      </c>
      <c r="D276" s="46" t="s">
        <v>219</v>
      </c>
      <c r="E276" s="46" t="s">
        <v>83</v>
      </c>
      <c r="F276" s="46">
        <v>4</v>
      </c>
      <c r="G276" s="48">
        <v>108000</v>
      </c>
      <c r="H276" s="46" t="s">
        <v>249</v>
      </c>
      <c r="I276" s="46">
        <v>1</v>
      </c>
      <c r="J276" s="46">
        <v>3</v>
      </c>
      <c r="K276" s="49" t="s">
        <v>250</v>
      </c>
      <c r="L276" s="49" t="s">
        <v>30</v>
      </c>
      <c r="M276" s="49" t="s">
        <v>29</v>
      </c>
      <c r="N276" s="49" t="s">
        <v>513</v>
      </c>
      <c r="O276" s="49"/>
      <c r="P276" s="49" t="s">
        <v>174</v>
      </c>
      <c r="Q276" s="49" t="s">
        <v>29</v>
      </c>
      <c r="R276" s="49">
        <v>0</v>
      </c>
      <c r="S276" s="50">
        <f t="shared" si="140"/>
        <v>0</v>
      </c>
      <c r="T276" s="49" t="str">
        <f>LEFT(V276,2)</f>
        <v>0</v>
      </c>
      <c r="U276" s="50">
        <f t="shared" si="141"/>
        <v>0</v>
      </c>
      <c r="V276" s="49">
        <v>0</v>
      </c>
      <c r="W276" s="49">
        <v>0</v>
      </c>
      <c r="X276" s="50">
        <f t="shared" si="142"/>
        <v>0</v>
      </c>
      <c r="Y276" s="51" t="str">
        <f t="shared" si="143"/>
        <v>No</v>
      </c>
      <c r="Z276" s="49" t="s">
        <v>29</v>
      </c>
      <c r="AA276" s="49" t="s">
        <v>29</v>
      </c>
      <c r="AB276" s="49" t="s">
        <v>29</v>
      </c>
      <c r="AC276" s="46" t="s">
        <v>72</v>
      </c>
      <c r="AD276" s="46" t="s">
        <v>27</v>
      </c>
      <c r="AE276" s="46" t="s">
        <v>89</v>
      </c>
      <c r="AF276" s="46" t="s">
        <v>29</v>
      </c>
      <c r="AG276" s="118">
        <v>36669</v>
      </c>
      <c r="AH276" s="52">
        <v>30986</v>
      </c>
      <c r="AI276" s="52">
        <v>30986</v>
      </c>
      <c r="AJ276" s="102">
        <v>71.06</v>
      </c>
      <c r="AK276" s="104">
        <v>142.12</v>
      </c>
      <c r="AL276" s="102">
        <v>71.06</v>
      </c>
      <c r="AM276" s="102"/>
      <c r="AN276" s="53">
        <f t="shared" si="144"/>
        <v>142.12</v>
      </c>
      <c r="AO276" s="53">
        <v>18.690000000000001</v>
      </c>
      <c r="AP276" s="117">
        <v>5633</v>
      </c>
      <c r="AQ276" s="102">
        <v>15.361749706836839</v>
      </c>
      <c r="AR276" s="102">
        <v>50</v>
      </c>
      <c r="AS276" s="108">
        <f>AR276/AI276 *100</f>
        <v>0.16136319628219195</v>
      </c>
      <c r="AT276" s="108"/>
      <c r="AU276" s="108"/>
      <c r="AV276" s="102"/>
      <c r="AW276" s="102"/>
      <c r="AX276" s="102"/>
      <c r="AY276" s="102"/>
      <c r="AZ276" s="102"/>
      <c r="BA276" s="102"/>
      <c r="BB276" s="102"/>
      <c r="BC276" s="102"/>
      <c r="BD276" s="102"/>
      <c r="BE276" s="102"/>
      <c r="BF276" s="102"/>
      <c r="BG276" s="102"/>
      <c r="BH276" s="102"/>
      <c r="BI276" s="102" t="s">
        <v>958</v>
      </c>
      <c r="BJ276" s="102"/>
      <c r="BK276" s="102"/>
      <c r="BL276" s="102"/>
      <c r="BM276" s="102"/>
      <c r="BN276" s="102"/>
      <c r="BO276" s="102"/>
      <c r="BP276" s="102"/>
      <c r="BQ276" s="102"/>
      <c r="BR276" s="102"/>
      <c r="BS276" s="54" t="s">
        <v>29</v>
      </c>
      <c r="BT276" s="45" t="str">
        <f t="shared" si="134"/>
        <v>No</v>
      </c>
      <c r="BU276" s="45" t="str">
        <f t="shared" si="135"/>
        <v>No</v>
      </c>
      <c r="BV276" s="45" t="str">
        <f t="shared" si="136"/>
        <v>No</v>
      </c>
      <c r="BW276" s="55">
        <f t="shared" si="146"/>
        <v>86.037296535224499</v>
      </c>
      <c r="BX276" s="55">
        <v>79.675790159661133</v>
      </c>
      <c r="BY276" s="55">
        <v>82.402296535224508</v>
      </c>
      <c r="BZ276" s="55">
        <f t="shared" si="139"/>
        <v>76.040790159661128</v>
      </c>
      <c r="CA276" s="45">
        <v>2008</v>
      </c>
      <c r="CB276" s="55">
        <f t="shared" si="137"/>
        <v>53.161994303949491</v>
      </c>
      <c r="CC276" s="46" t="s">
        <v>490</v>
      </c>
      <c r="CD276" s="46" t="s">
        <v>71</v>
      </c>
      <c r="CE276" s="71" t="s">
        <v>783</v>
      </c>
      <c r="CF276" s="46">
        <v>1</v>
      </c>
      <c r="CG276" s="46" t="str">
        <f t="shared" si="145"/>
        <v>No</v>
      </c>
      <c r="CH276" s="46" t="s">
        <v>35</v>
      </c>
      <c r="CI276" s="56">
        <v>500</v>
      </c>
      <c r="CJ276" s="46" t="s">
        <v>180</v>
      </c>
      <c r="CK276" s="79">
        <v>1000</v>
      </c>
      <c r="CL276" s="49" t="s">
        <v>35</v>
      </c>
      <c r="CM276" s="50">
        <v>0</v>
      </c>
      <c r="CN276" s="50"/>
      <c r="CO276" s="50"/>
      <c r="CP276" s="46" t="s">
        <v>23</v>
      </c>
      <c r="CQ276" s="46" t="s">
        <v>24</v>
      </c>
      <c r="CR276" s="46">
        <v>11</v>
      </c>
      <c r="CS276" s="46" t="s">
        <v>855</v>
      </c>
      <c r="CT276" s="46" t="s">
        <v>856</v>
      </c>
      <c r="CU276" s="46" t="s">
        <v>213</v>
      </c>
      <c r="CV276" s="46" t="s">
        <v>23</v>
      </c>
      <c r="CW276" s="46">
        <v>2</v>
      </c>
      <c r="CX276" s="49" t="s">
        <v>923</v>
      </c>
      <c r="CY276" s="49" t="s">
        <v>261</v>
      </c>
      <c r="CZ276" s="49">
        <v>0</v>
      </c>
      <c r="DA276" s="49">
        <v>0</v>
      </c>
      <c r="DB276" s="64">
        <v>58286</v>
      </c>
      <c r="DC276" s="58">
        <v>50.629999999999995</v>
      </c>
      <c r="DD276" s="58">
        <v>4.3099999999999996</v>
      </c>
      <c r="DE276" s="58">
        <v>9.6199999999999992</v>
      </c>
      <c r="DF276" s="58">
        <v>32.619999999999997</v>
      </c>
      <c r="DG276" s="58">
        <v>2.8000000000000003</v>
      </c>
      <c r="DH276" s="58">
        <v>49.370000000000005</v>
      </c>
      <c r="DI276" s="45" t="s">
        <v>29</v>
      </c>
      <c r="DJ276" s="59" t="str">
        <f t="shared" si="133"/>
        <v>N/A</v>
      </c>
      <c r="DK276" s="65">
        <v>58286</v>
      </c>
      <c r="DL276" s="58">
        <v>50.629999999999995</v>
      </c>
      <c r="DM276" s="58">
        <v>4.3099999999999996</v>
      </c>
      <c r="DN276" s="58">
        <v>9.6199999999999992</v>
      </c>
      <c r="DO276" s="58">
        <v>49.370000000000005</v>
      </c>
      <c r="DP276" s="66">
        <v>48.7</v>
      </c>
      <c r="DQ276" s="67">
        <v>77412.33</v>
      </c>
      <c r="DR276" s="53">
        <v>11.9</v>
      </c>
      <c r="DS276" s="58">
        <v>78.3</v>
      </c>
      <c r="DT276" s="53">
        <v>37.5</v>
      </c>
      <c r="DU276" s="55">
        <v>2.31</v>
      </c>
      <c r="DV276" s="102">
        <v>38.299999999999997</v>
      </c>
      <c r="DW276" s="53">
        <v>85.7</v>
      </c>
      <c r="DX276" s="53">
        <v>86.32</v>
      </c>
      <c r="DY276" s="53">
        <v>43.616199999999999</v>
      </c>
      <c r="DZ276" s="63"/>
    </row>
    <row r="277" spans="1:130" s="5" customFormat="1" ht="14.25" customHeight="1">
      <c r="A277" s="45">
        <v>1223</v>
      </c>
      <c r="B277" s="46" t="s">
        <v>210</v>
      </c>
      <c r="C277" s="46">
        <v>2008</v>
      </c>
      <c r="D277" s="46" t="s">
        <v>219</v>
      </c>
      <c r="E277" s="46" t="s">
        <v>236</v>
      </c>
      <c r="F277" s="46">
        <v>4</v>
      </c>
      <c r="G277" s="48">
        <v>108000</v>
      </c>
      <c r="H277" s="46" t="s">
        <v>249</v>
      </c>
      <c r="I277" s="46">
        <v>1</v>
      </c>
      <c r="J277" s="46">
        <v>7</v>
      </c>
      <c r="K277" s="49" t="s">
        <v>237</v>
      </c>
      <c r="L277" s="49" t="s">
        <v>30</v>
      </c>
      <c r="M277" s="49" t="s">
        <v>29</v>
      </c>
      <c r="N277" s="49" t="s">
        <v>512</v>
      </c>
      <c r="O277" s="49"/>
      <c r="P277" s="49" t="s">
        <v>857</v>
      </c>
      <c r="Q277" s="49" t="s">
        <v>35</v>
      </c>
      <c r="R277" s="49">
        <v>1</v>
      </c>
      <c r="S277" s="50">
        <f t="shared" si="140"/>
        <v>14.285714285714285</v>
      </c>
      <c r="T277" s="49">
        <v>4</v>
      </c>
      <c r="U277" s="50">
        <f t="shared" si="141"/>
        <v>57.142857142857139</v>
      </c>
      <c r="V277" s="49" t="s">
        <v>792</v>
      </c>
      <c r="W277" s="49">
        <v>1</v>
      </c>
      <c r="X277" s="50">
        <f t="shared" si="142"/>
        <v>14.285714285714285</v>
      </c>
      <c r="Y277" s="51" t="str">
        <f t="shared" si="143"/>
        <v>No</v>
      </c>
      <c r="Z277" s="49" t="s">
        <v>35</v>
      </c>
      <c r="AA277" s="49" t="s">
        <v>23</v>
      </c>
      <c r="AB277" s="49" t="s">
        <v>23</v>
      </c>
      <c r="AC277" s="46" t="s">
        <v>135</v>
      </c>
      <c r="AD277" s="46" t="s">
        <v>27</v>
      </c>
      <c r="AE277" s="46" t="s">
        <v>89</v>
      </c>
      <c r="AF277" s="46" t="s">
        <v>29</v>
      </c>
      <c r="AG277" s="103">
        <v>28884</v>
      </c>
      <c r="AH277" s="52">
        <v>26387</v>
      </c>
      <c r="AI277" s="52">
        <v>26387</v>
      </c>
      <c r="AJ277" s="102">
        <v>35.78</v>
      </c>
      <c r="AK277" s="104">
        <v>71.56</v>
      </c>
      <c r="AL277" s="102">
        <v>53.83</v>
      </c>
      <c r="AM277" s="102"/>
      <c r="AN277" s="53">
        <f t="shared" si="144"/>
        <v>107.66</v>
      </c>
      <c r="AO277" s="53">
        <v>28.86</v>
      </c>
      <c r="AP277" s="102">
        <v>2085</v>
      </c>
      <c r="AQ277" s="102">
        <v>7.2</v>
      </c>
      <c r="AR277" s="102">
        <v>407</v>
      </c>
      <c r="AS277" s="102">
        <v>1.5</v>
      </c>
      <c r="AT277" s="102">
        <v>313</v>
      </c>
      <c r="AU277" s="102">
        <v>1.2</v>
      </c>
      <c r="AV277" s="102">
        <v>39</v>
      </c>
      <c r="AW277" s="102">
        <v>0.1</v>
      </c>
      <c r="AX277" s="102">
        <v>2161</v>
      </c>
      <c r="AY277" s="102">
        <v>8.1</v>
      </c>
      <c r="AZ277" s="102"/>
      <c r="BA277" s="102"/>
      <c r="BB277" s="102"/>
      <c r="BC277" s="102"/>
      <c r="BD277" s="102">
        <v>170</v>
      </c>
      <c r="BE277" s="102">
        <v>0.6</v>
      </c>
      <c r="BF277" s="102">
        <v>2662</v>
      </c>
      <c r="BG277" s="102">
        <v>9.9</v>
      </c>
      <c r="BH277" s="102">
        <v>2973</v>
      </c>
      <c r="BI277" s="102">
        <v>11.22</v>
      </c>
      <c r="BJ277" s="102">
        <v>993</v>
      </c>
      <c r="BK277" s="102">
        <v>3.7</v>
      </c>
      <c r="BL277" s="102">
        <v>1980</v>
      </c>
      <c r="BM277" s="102">
        <v>7.5</v>
      </c>
      <c r="BN277" s="102"/>
      <c r="BO277" s="102"/>
      <c r="BP277" s="102"/>
      <c r="BQ277" s="102"/>
      <c r="BR277" s="102" t="s">
        <v>967</v>
      </c>
      <c r="BS277" s="54" t="s">
        <v>29</v>
      </c>
      <c r="BT277" s="45" t="str">
        <f t="shared" si="134"/>
        <v>Yes</v>
      </c>
      <c r="BU277" s="45" t="str">
        <f t="shared" si="135"/>
        <v>Yes</v>
      </c>
      <c r="BV277" s="45" t="str">
        <f t="shared" si="136"/>
        <v>No</v>
      </c>
      <c r="BW277" s="55">
        <f t="shared" si="146"/>
        <v>86.037296535224499</v>
      </c>
      <c r="BX277" s="55">
        <v>90.905274940534483</v>
      </c>
      <c r="BY277" s="55">
        <v>82.402296535224508</v>
      </c>
      <c r="BZ277" s="55">
        <f t="shared" si="139"/>
        <v>87.270274940534478</v>
      </c>
      <c r="CA277" s="45">
        <v>2008</v>
      </c>
      <c r="CB277" s="55">
        <f t="shared" si="137"/>
        <v>62.988160030554766</v>
      </c>
      <c r="CC277" s="46" t="s">
        <v>490</v>
      </c>
      <c r="CD277" s="46" t="s">
        <v>71</v>
      </c>
      <c r="CE277" s="71" t="s">
        <v>783</v>
      </c>
      <c r="CF277" s="46">
        <v>1</v>
      </c>
      <c r="CG277" s="46" t="str">
        <f t="shared" si="145"/>
        <v>No</v>
      </c>
      <c r="CH277" s="46" t="s">
        <v>35</v>
      </c>
      <c r="CI277" s="56">
        <v>500</v>
      </c>
      <c r="CJ277" s="46" t="s">
        <v>180</v>
      </c>
      <c r="CK277" s="79">
        <v>1000</v>
      </c>
      <c r="CL277" s="49" t="s">
        <v>35</v>
      </c>
      <c r="CM277" s="50">
        <f>(5/7)*100</f>
        <v>71.428571428571431</v>
      </c>
      <c r="CN277" s="50"/>
      <c r="CO277" s="50"/>
      <c r="CP277" s="46" t="s">
        <v>23</v>
      </c>
      <c r="CQ277" s="46" t="s">
        <v>24</v>
      </c>
      <c r="CR277" s="46">
        <v>11</v>
      </c>
      <c r="CS277" s="46" t="s">
        <v>855</v>
      </c>
      <c r="CT277" s="46" t="s">
        <v>856</v>
      </c>
      <c r="CU277" s="46" t="s">
        <v>213</v>
      </c>
      <c r="CV277" s="46" t="s">
        <v>23</v>
      </c>
      <c r="CW277" s="46">
        <v>2</v>
      </c>
      <c r="CX277" s="49" t="s">
        <v>923</v>
      </c>
      <c r="CY277" s="49" t="s">
        <v>261</v>
      </c>
      <c r="CZ277" s="49">
        <v>0</v>
      </c>
      <c r="DA277" s="49">
        <v>0</v>
      </c>
      <c r="DB277" s="64">
        <v>41892</v>
      </c>
      <c r="DC277" s="58">
        <v>46.550000000000004</v>
      </c>
      <c r="DD277" s="58">
        <v>4.1300000000000008</v>
      </c>
      <c r="DE277" s="58">
        <v>24.47</v>
      </c>
      <c r="DF277" s="58">
        <v>22.28</v>
      </c>
      <c r="DG277" s="58">
        <v>2.6</v>
      </c>
      <c r="DH277" s="58">
        <v>53.449999999999996</v>
      </c>
      <c r="DI277" s="45" t="s">
        <v>35</v>
      </c>
      <c r="DJ277" s="59" t="str">
        <f t="shared" si="133"/>
        <v>No single majority group</v>
      </c>
      <c r="DK277" s="65">
        <v>41892</v>
      </c>
      <c r="DL277" s="58">
        <v>46.550000000000004</v>
      </c>
      <c r="DM277" s="58">
        <v>4.1300000000000008</v>
      </c>
      <c r="DN277" s="58">
        <v>24.47</v>
      </c>
      <c r="DO277" s="58">
        <v>53.449999999999996</v>
      </c>
      <c r="DP277" s="66">
        <v>48.7</v>
      </c>
      <c r="DQ277" s="67">
        <v>77412.33</v>
      </c>
      <c r="DR277" s="53">
        <v>11.9</v>
      </c>
      <c r="DS277" s="58">
        <v>78.3</v>
      </c>
      <c r="DT277" s="53">
        <v>37.5</v>
      </c>
      <c r="DU277" s="55">
        <v>2.31</v>
      </c>
      <c r="DV277" s="102">
        <v>38.299999999999997</v>
      </c>
      <c r="DW277" s="53">
        <v>85.7</v>
      </c>
      <c r="DX277" s="53">
        <v>86.32</v>
      </c>
      <c r="DY277" s="53">
        <v>43.616199999999999</v>
      </c>
      <c r="DZ277" s="78" t="s">
        <v>947</v>
      </c>
    </row>
    <row r="278" spans="1:130" s="5" customFormat="1" ht="14.25" customHeight="1">
      <c r="A278" s="45">
        <v>1224</v>
      </c>
      <c r="B278" s="46" t="s">
        <v>210</v>
      </c>
      <c r="C278" s="46">
        <v>2008</v>
      </c>
      <c r="D278" s="46" t="s">
        <v>219</v>
      </c>
      <c r="E278" s="46" t="s">
        <v>238</v>
      </c>
      <c r="F278" s="46">
        <v>4</v>
      </c>
      <c r="G278" s="48">
        <v>108000</v>
      </c>
      <c r="H278" s="46" t="s">
        <v>249</v>
      </c>
      <c r="I278" s="46">
        <v>1</v>
      </c>
      <c r="J278" s="46">
        <v>8</v>
      </c>
      <c r="K278" s="49" t="s">
        <v>239</v>
      </c>
      <c r="L278" s="49" t="s">
        <v>30</v>
      </c>
      <c r="M278" s="49" t="s">
        <v>29</v>
      </c>
      <c r="N278" s="49" t="s">
        <v>512</v>
      </c>
      <c r="O278" s="49"/>
      <c r="P278" s="49" t="s">
        <v>857</v>
      </c>
      <c r="Q278" s="49" t="s">
        <v>35</v>
      </c>
      <c r="R278" s="49">
        <v>2</v>
      </c>
      <c r="S278" s="50">
        <f t="shared" si="140"/>
        <v>25</v>
      </c>
      <c r="T278" s="49">
        <v>5</v>
      </c>
      <c r="U278" s="50">
        <f t="shared" si="141"/>
        <v>62.5</v>
      </c>
      <c r="V278" s="49" t="s">
        <v>790</v>
      </c>
      <c r="W278" s="49">
        <v>1</v>
      </c>
      <c r="X278" s="50">
        <f t="shared" si="142"/>
        <v>12.5</v>
      </c>
      <c r="Y278" s="51" t="str">
        <f t="shared" si="143"/>
        <v>No</v>
      </c>
      <c r="Z278" s="49" t="s">
        <v>35</v>
      </c>
      <c r="AA278" s="49" t="s">
        <v>23</v>
      </c>
      <c r="AB278" s="49" t="s">
        <v>23</v>
      </c>
      <c r="AC278" s="46" t="s">
        <v>87</v>
      </c>
      <c r="AD278" s="46" t="s">
        <v>27</v>
      </c>
      <c r="AE278" s="46" t="s">
        <v>89</v>
      </c>
      <c r="AF278" s="46" t="s">
        <v>29</v>
      </c>
      <c r="AG278" s="103">
        <v>26909</v>
      </c>
      <c r="AH278" s="52">
        <v>24537</v>
      </c>
      <c r="AI278" s="52">
        <v>24537</v>
      </c>
      <c r="AJ278" s="102">
        <v>28.91</v>
      </c>
      <c r="AK278" s="104">
        <v>57.82</v>
      </c>
      <c r="AL278" s="102">
        <v>52.93</v>
      </c>
      <c r="AM278" s="102"/>
      <c r="AN278" s="53">
        <f t="shared" si="144"/>
        <v>105.86</v>
      </c>
      <c r="AO278" s="53">
        <v>24.21</v>
      </c>
      <c r="AP278" s="102">
        <v>1826</v>
      </c>
      <c r="AQ278" s="102">
        <v>6.8</v>
      </c>
      <c r="AR278" s="102">
        <v>552</v>
      </c>
      <c r="AS278" s="102">
        <v>2.2000000000000002</v>
      </c>
      <c r="AT278" s="102">
        <v>410</v>
      </c>
      <c r="AU278" s="102">
        <v>1.6</v>
      </c>
      <c r="AV278" s="102">
        <v>62</v>
      </c>
      <c r="AW278" s="102">
        <v>0.3</v>
      </c>
      <c r="AX278" s="102">
        <v>3168</v>
      </c>
      <c r="AY278" s="102">
        <v>12.6</v>
      </c>
      <c r="AZ278" s="102"/>
      <c r="BA278" s="102"/>
      <c r="BB278" s="102"/>
      <c r="BC278" s="102"/>
      <c r="BD278" s="102">
        <v>236</v>
      </c>
      <c r="BE278" s="102">
        <v>0.9</v>
      </c>
      <c r="BF278" s="102">
        <v>3856</v>
      </c>
      <c r="BG278" s="102">
        <v>15.4</v>
      </c>
      <c r="BH278" s="102">
        <v>5294</v>
      </c>
      <c r="BI278" s="102">
        <v>21.46</v>
      </c>
      <c r="BJ278" s="102">
        <v>2128</v>
      </c>
      <c r="BK278" s="102">
        <v>8.6</v>
      </c>
      <c r="BL278" s="102">
        <v>3166</v>
      </c>
      <c r="BM278" s="102">
        <v>12.8</v>
      </c>
      <c r="BN278" s="102"/>
      <c r="BO278" s="102"/>
      <c r="BP278" s="102"/>
      <c r="BQ278" s="102"/>
      <c r="BR278" s="102" t="s">
        <v>967</v>
      </c>
      <c r="BS278" s="54" t="s">
        <v>29</v>
      </c>
      <c r="BT278" s="45" t="str">
        <f t="shared" si="134"/>
        <v>Yes</v>
      </c>
      <c r="BU278" s="45" t="str">
        <f t="shared" si="135"/>
        <v>Yes</v>
      </c>
      <c r="BV278" s="45" t="str">
        <f t="shared" si="136"/>
        <v>Yes</v>
      </c>
      <c r="BW278" s="55">
        <f t="shared" si="146"/>
        <v>86.037296535224499</v>
      </c>
      <c r="BX278" s="55">
        <v>82.077734211427924</v>
      </c>
      <c r="BY278" s="55">
        <v>82.402296535224508</v>
      </c>
      <c r="BZ278" s="55">
        <f t="shared" si="139"/>
        <v>78.442734211427918</v>
      </c>
      <c r="CA278" s="45">
        <v>2008</v>
      </c>
      <c r="CB278" s="55">
        <f t="shared" si="137"/>
        <v>49.559684912138962</v>
      </c>
      <c r="CC278" s="46" t="s">
        <v>490</v>
      </c>
      <c r="CD278" s="46" t="s">
        <v>71</v>
      </c>
      <c r="CE278" s="71" t="s">
        <v>783</v>
      </c>
      <c r="CF278" s="46">
        <v>1</v>
      </c>
      <c r="CG278" s="46" t="str">
        <f t="shared" si="145"/>
        <v>No</v>
      </c>
      <c r="CH278" s="46" t="s">
        <v>35</v>
      </c>
      <c r="CI278" s="56">
        <v>500</v>
      </c>
      <c r="CJ278" s="46" t="s">
        <v>180</v>
      </c>
      <c r="CK278" s="79">
        <v>1000</v>
      </c>
      <c r="CL278" s="49" t="s">
        <v>35</v>
      </c>
      <c r="CM278" s="50">
        <f>(5/8)*100</f>
        <v>62.5</v>
      </c>
      <c r="CN278" s="50"/>
      <c r="CO278" s="50"/>
      <c r="CP278" s="46" t="s">
        <v>23</v>
      </c>
      <c r="CQ278" s="46" t="s">
        <v>24</v>
      </c>
      <c r="CR278" s="46">
        <v>11</v>
      </c>
      <c r="CS278" s="46" t="s">
        <v>855</v>
      </c>
      <c r="CT278" s="46" t="s">
        <v>856</v>
      </c>
      <c r="CU278" s="46" t="s">
        <v>213</v>
      </c>
      <c r="CV278" s="46" t="s">
        <v>23</v>
      </c>
      <c r="CW278" s="46">
        <v>2</v>
      </c>
      <c r="CX278" s="49" t="s">
        <v>923</v>
      </c>
      <c r="CY278" s="49" t="s">
        <v>261</v>
      </c>
      <c r="CZ278" s="49">
        <v>0</v>
      </c>
      <c r="DA278" s="49">
        <v>0</v>
      </c>
      <c r="DB278" s="64">
        <v>49510</v>
      </c>
      <c r="DC278" s="58">
        <v>21.87</v>
      </c>
      <c r="DD278" s="58">
        <v>7.7700000000000005</v>
      </c>
      <c r="DE278" s="58">
        <v>20.29</v>
      </c>
      <c r="DF278" s="58">
        <v>47.870000000000005</v>
      </c>
      <c r="DG278" s="58">
        <v>2.1999999999999997</v>
      </c>
      <c r="DH278" s="58">
        <v>78.13</v>
      </c>
      <c r="DI278" s="45" t="s">
        <v>35</v>
      </c>
      <c r="DJ278" s="59" t="str">
        <f t="shared" si="133"/>
        <v>No single majority group</v>
      </c>
      <c r="DK278" s="65">
        <v>49510</v>
      </c>
      <c r="DL278" s="58">
        <v>21.87</v>
      </c>
      <c r="DM278" s="58">
        <v>7.7700000000000005</v>
      </c>
      <c r="DN278" s="58">
        <v>20.29</v>
      </c>
      <c r="DO278" s="58">
        <v>78.13</v>
      </c>
      <c r="DP278" s="66">
        <v>48.7</v>
      </c>
      <c r="DQ278" s="67">
        <v>77412.33</v>
      </c>
      <c r="DR278" s="53">
        <v>11.9</v>
      </c>
      <c r="DS278" s="58">
        <v>78.3</v>
      </c>
      <c r="DT278" s="53">
        <v>37.5</v>
      </c>
      <c r="DU278" s="55">
        <v>2.31</v>
      </c>
      <c r="DV278" s="102">
        <v>38.299999999999997</v>
      </c>
      <c r="DW278" s="53">
        <v>85.7</v>
      </c>
      <c r="DX278" s="53">
        <v>86.32</v>
      </c>
      <c r="DY278" s="53">
        <v>43.616199999999999</v>
      </c>
      <c r="DZ278" s="63"/>
    </row>
    <row r="279" spans="1:130" s="5" customFormat="1" ht="14.25" customHeight="1">
      <c r="A279" s="45">
        <v>1216</v>
      </c>
      <c r="B279" s="46" t="s">
        <v>210</v>
      </c>
      <c r="C279" s="46">
        <v>2009</v>
      </c>
      <c r="D279" s="46" t="s">
        <v>227</v>
      </c>
      <c r="E279" s="46" t="s">
        <v>22</v>
      </c>
      <c r="F279" s="46">
        <v>4</v>
      </c>
      <c r="G279" s="48">
        <v>215000</v>
      </c>
      <c r="H279" s="46" t="s">
        <v>249</v>
      </c>
      <c r="I279" s="46">
        <v>1</v>
      </c>
      <c r="J279" s="46">
        <v>1</v>
      </c>
      <c r="K279" s="49" t="s">
        <v>229</v>
      </c>
      <c r="L279" s="49" t="s">
        <v>30</v>
      </c>
      <c r="M279" s="49" t="s">
        <v>29</v>
      </c>
      <c r="N279" s="49" t="s">
        <v>513</v>
      </c>
      <c r="O279" s="49"/>
      <c r="P279" s="49" t="s">
        <v>857</v>
      </c>
      <c r="Q279" s="49" t="s">
        <v>35</v>
      </c>
      <c r="R279" s="49">
        <v>0</v>
      </c>
      <c r="S279" s="50">
        <f t="shared" si="140"/>
        <v>0</v>
      </c>
      <c r="T279" s="49" t="str">
        <f>LEFT(V279,2)</f>
        <v xml:space="preserve">1 </v>
      </c>
      <c r="U279" s="50">
        <f t="shared" si="141"/>
        <v>100</v>
      </c>
      <c r="V279" s="49" t="s">
        <v>789</v>
      </c>
      <c r="W279" s="49">
        <v>0</v>
      </c>
      <c r="X279" s="50">
        <f t="shared" si="142"/>
        <v>0</v>
      </c>
      <c r="Y279" s="51" t="str">
        <f t="shared" si="143"/>
        <v>No</v>
      </c>
      <c r="Z279" s="49" t="s">
        <v>29</v>
      </c>
      <c r="AA279" s="49" t="s">
        <v>35</v>
      </c>
      <c r="AB279" s="49" t="s">
        <v>29</v>
      </c>
      <c r="AC279" s="46" t="s">
        <v>72</v>
      </c>
      <c r="AD279" s="46" t="s">
        <v>27</v>
      </c>
      <c r="AE279" s="46" t="s">
        <v>228</v>
      </c>
      <c r="AF279" s="46" t="s">
        <v>29</v>
      </c>
      <c r="AG279" s="103">
        <v>102061</v>
      </c>
      <c r="AH279" s="52">
        <v>80982</v>
      </c>
      <c r="AI279" s="52">
        <v>80982</v>
      </c>
      <c r="AJ279" s="102">
        <v>96.84</v>
      </c>
      <c r="AK279" s="104">
        <v>193.68</v>
      </c>
      <c r="AL279" s="102">
        <v>96.84</v>
      </c>
      <c r="AM279" s="102"/>
      <c r="AN279" s="53">
        <f t="shared" si="144"/>
        <v>193.68</v>
      </c>
      <c r="AO279" s="53" t="s">
        <v>23</v>
      </c>
      <c r="AP279" s="102">
        <v>21079</v>
      </c>
      <c r="AQ279" s="102">
        <v>20.653334770382418</v>
      </c>
      <c r="AR279" s="102">
        <v>27</v>
      </c>
      <c r="AS279" s="108">
        <f>AR279/AI279 *100</f>
        <v>3.3340742387197156E-2</v>
      </c>
      <c r="AT279" s="108"/>
      <c r="AU279" s="108"/>
      <c r="AV279" s="108"/>
      <c r="AW279" s="108"/>
      <c r="AX279" s="102"/>
      <c r="AY279" s="102"/>
      <c r="AZ279" s="102"/>
      <c r="BA279" s="102"/>
      <c r="BB279" s="102"/>
      <c r="BC279" s="102"/>
      <c r="BD279" s="102"/>
      <c r="BE279" s="102"/>
      <c r="BF279" s="102"/>
      <c r="BG279" s="102"/>
      <c r="BH279" s="102"/>
      <c r="BI279" s="102"/>
      <c r="BJ279" s="108"/>
      <c r="BK279" s="108"/>
      <c r="BL279" s="108"/>
      <c r="BM279" s="108"/>
      <c r="BN279" s="102"/>
      <c r="BO279" s="102"/>
      <c r="BP279" s="102"/>
      <c r="BQ279" s="102"/>
      <c r="BR279" s="108"/>
      <c r="BS279" s="54" t="s">
        <v>23</v>
      </c>
      <c r="BT279" s="45" t="str">
        <f t="shared" si="134"/>
        <v>No</v>
      </c>
      <c r="BU279" s="45" t="str">
        <f t="shared" si="135"/>
        <v>No</v>
      </c>
      <c r="BV279" s="45" t="str">
        <f t="shared" si="136"/>
        <v>No</v>
      </c>
      <c r="BW279" s="55">
        <f t="shared" si="146"/>
        <v>86.037296535224499</v>
      </c>
      <c r="BX279" s="55">
        <f>(322220 /(322220 +52292 ))*100</f>
        <v>86.037296535224499</v>
      </c>
      <c r="BY279" s="55">
        <v>82.402296535224508</v>
      </c>
      <c r="BZ279" s="55">
        <f t="shared" si="139"/>
        <v>82.402296535224494</v>
      </c>
      <c r="CA279" s="45">
        <v>2008</v>
      </c>
      <c r="CB279" s="55">
        <f t="shared" si="137"/>
        <v>13.647233293168966</v>
      </c>
      <c r="CC279" s="46" t="s">
        <v>490</v>
      </c>
      <c r="CD279" s="46" t="s">
        <v>71</v>
      </c>
      <c r="CE279" s="71" t="s">
        <v>783</v>
      </c>
      <c r="CF279" s="46">
        <v>1</v>
      </c>
      <c r="CG279" s="46" t="str">
        <f t="shared" si="145"/>
        <v>No</v>
      </c>
      <c r="CH279" s="46" t="s">
        <v>29</v>
      </c>
      <c r="CI279" s="56">
        <v>4300</v>
      </c>
      <c r="CJ279" s="46" t="s">
        <v>180</v>
      </c>
      <c r="CK279" s="79">
        <f>CI279*2</f>
        <v>8600</v>
      </c>
      <c r="CL279" s="49" t="s">
        <v>29</v>
      </c>
      <c r="CM279" s="50">
        <v>0</v>
      </c>
      <c r="CN279" s="50"/>
      <c r="CO279" s="50"/>
      <c r="CP279" s="46" t="s">
        <v>23</v>
      </c>
      <c r="CQ279" s="46" t="s">
        <v>23</v>
      </c>
      <c r="CR279" s="46">
        <v>11</v>
      </c>
      <c r="CS279" s="46" t="s">
        <v>855</v>
      </c>
      <c r="CT279" s="46" t="s">
        <v>963</v>
      </c>
      <c r="CU279" s="46" t="s">
        <v>213</v>
      </c>
      <c r="CV279" s="46" t="s">
        <v>23</v>
      </c>
      <c r="CW279" s="46">
        <v>2</v>
      </c>
      <c r="CX279" s="49" t="s">
        <v>923</v>
      </c>
      <c r="CY279" s="49" t="s">
        <v>261</v>
      </c>
      <c r="CZ279" s="49">
        <v>0</v>
      </c>
      <c r="DA279" s="49">
        <v>0</v>
      </c>
      <c r="DB279" s="57">
        <v>593395</v>
      </c>
      <c r="DC279" s="58">
        <v>48.78</v>
      </c>
      <c r="DD279" s="58">
        <v>6.5699999999999994</v>
      </c>
      <c r="DE279" s="58">
        <v>10.93</v>
      </c>
      <c r="DF279" s="58">
        <v>30.69</v>
      </c>
      <c r="DG279" s="58">
        <v>3.0299999999999994</v>
      </c>
      <c r="DH279" s="58">
        <v>51.22</v>
      </c>
      <c r="DI279" s="45" t="s">
        <v>35</v>
      </c>
      <c r="DJ279" s="59" t="str">
        <f t="shared" si="133"/>
        <v>No single majority group</v>
      </c>
      <c r="DK279" s="60">
        <v>593395</v>
      </c>
      <c r="DL279" s="58">
        <v>48.78</v>
      </c>
      <c r="DM279" s="58">
        <v>6.5699999999999994</v>
      </c>
      <c r="DN279" s="58">
        <v>10.93</v>
      </c>
      <c r="DO279" s="58">
        <v>51.22</v>
      </c>
      <c r="DP279" s="66">
        <v>48.6</v>
      </c>
      <c r="DQ279" s="67">
        <v>76772.73</v>
      </c>
      <c r="DR279" s="53">
        <v>12.3</v>
      </c>
      <c r="DS279" s="58">
        <v>78.3</v>
      </c>
      <c r="DT279" s="53">
        <v>37.1</v>
      </c>
      <c r="DU279" s="55">
        <v>2.2999999999999998</v>
      </c>
      <c r="DV279" s="102">
        <v>38.4</v>
      </c>
      <c r="DW279" s="53">
        <v>85.7</v>
      </c>
      <c r="DX279" s="53">
        <v>84.5</v>
      </c>
      <c r="DY279" s="53">
        <v>44.924900000000001</v>
      </c>
      <c r="DZ279" s="63"/>
    </row>
    <row r="280" spans="1:130" s="5" customFormat="1" ht="14.25" customHeight="1">
      <c r="A280" s="45">
        <v>1217</v>
      </c>
      <c r="B280" s="46" t="s">
        <v>210</v>
      </c>
      <c r="C280" s="46">
        <v>2009</v>
      </c>
      <c r="D280" s="46" t="s">
        <v>230</v>
      </c>
      <c r="E280" s="46" t="s">
        <v>22</v>
      </c>
      <c r="F280" s="46">
        <v>4</v>
      </c>
      <c r="G280" s="48">
        <v>162000</v>
      </c>
      <c r="H280" s="46" t="s">
        <v>249</v>
      </c>
      <c r="I280" s="46">
        <v>1</v>
      </c>
      <c r="J280" s="46">
        <v>1</v>
      </c>
      <c r="K280" s="49" t="s">
        <v>231</v>
      </c>
      <c r="L280" s="49" t="s">
        <v>30</v>
      </c>
      <c r="M280" s="49" t="s">
        <v>29</v>
      </c>
      <c r="N280" s="49" t="s">
        <v>513</v>
      </c>
      <c r="O280" s="49"/>
      <c r="P280" s="49" t="s">
        <v>857</v>
      </c>
      <c r="Q280" s="49" t="s">
        <v>35</v>
      </c>
      <c r="R280" s="49">
        <v>0</v>
      </c>
      <c r="S280" s="50">
        <f t="shared" si="140"/>
        <v>0</v>
      </c>
      <c r="T280" s="49" t="str">
        <f>LEFT(V280,2)</f>
        <v xml:space="preserve">1 </v>
      </c>
      <c r="U280" s="50">
        <f t="shared" si="141"/>
        <v>100</v>
      </c>
      <c r="V280" s="49" t="s">
        <v>789</v>
      </c>
      <c r="W280" s="49">
        <v>0</v>
      </c>
      <c r="X280" s="50">
        <f t="shared" si="142"/>
        <v>0</v>
      </c>
      <c r="Y280" s="51" t="str">
        <f t="shared" si="143"/>
        <v>No</v>
      </c>
      <c r="Z280" s="49" t="s">
        <v>29</v>
      </c>
      <c r="AA280" s="49" t="s">
        <v>35</v>
      </c>
      <c r="AB280" s="49" t="s">
        <v>29</v>
      </c>
      <c r="AC280" s="46" t="s">
        <v>72</v>
      </c>
      <c r="AD280" s="46" t="s">
        <v>27</v>
      </c>
      <c r="AE280" s="46" t="s">
        <v>228</v>
      </c>
      <c r="AF280" s="46" t="s">
        <v>29</v>
      </c>
      <c r="AG280" s="103">
        <v>102061</v>
      </c>
      <c r="AH280" s="52">
        <v>78696</v>
      </c>
      <c r="AI280" s="52">
        <v>78696</v>
      </c>
      <c r="AJ280" s="102">
        <v>97.07</v>
      </c>
      <c r="AK280" s="104">
        <v>194.14</v>
      </c>
      <c r="AL280" s="102">
        <v>97.07</v>
      </c>
      <c r="AM280" s="102"/>
      <c r="AN280" s="53">
        <f t="shared" si="144"/>
        <v>194.14</v>
      </c>
      <c r="AO280" s="53" t="s">
        <v>23</v>
      </c>
      <c r="AP280" s="102">
        <v>23365</v>
      </c>
      <c r="AQ280" s="102">
        <v>22.893171730631682</v>
      </c>
      <c r="AR280" s="102">
        <v>26</v>
      </c>
      <c r="AS280" s="108">
        <f>AR280/AI280 *100</f>
        <v>3.303852800650605E-2</v>
      </c>
      <c r="AT280" s="108"/>
      <c r="AU280" s="108"/>
      <c r="AV280" s="108"/>
      <c r="AW280" s="108"/>
      <c r="AX280" s="102"/>
      <c r="AY280" s="102"/>
      <c r="AZ280" s="102"/>
      <c r="BA280" s="102"/>
      <c r="BB280" s="102"/>
      <c r="BC280" s="102"/>
      <c r="BD280" s="102"/>
      <c r="BE280" s="102"/>
      <c r="BF280" s="102"/>
      <c r="BG280" s="102"/>
      <c r="BH280" s="102"/>
      <c r="BI280" s="102"/>
      <c r="BJ280" s="108"/>
      <c r="BK280" s="108"/>
      <c r="BL280" s="108"/>
      <c r="BM280" s="108"/>
      <c r="BN280" s="102"/>
      <c r="BO280" s="102"/>
      <c r="BP280" s="102"/>
      <c r="BQ280" s="102"/>
      <c r="BR280" s="108"/>
      <c r="BS280" s="54" t="s">
        <v>23</v>
      </c>
      <c r="BT280" s="45" t="str">
        <f t="shared" si="134"/>
        <v>No</v>
      </c>
      <c r="BU280" s="45" t="str">
        <f t="shared" si="135"/>
        <v>No</v>
      </c>
      <c r="BV280" s="45" t="str">
        <f t="shared" si="136"/>
        <v>No</v>
      </c>
      <c r="BW280" s="55">
        <f t="shared" si="146"/>
        <v>86.037296535224499</v>
      </c>
      <c r="BX280" s="55">
        <f>(322220 /(322220 +52292 ))*100</f>
        <v>86.037296535224499</v>
      </c>
      <c r="BY280" s="55">
        <v>82.402296535224508</v>
      </c>
      <c r="BZ280" s="55">
        <f t="shared" si="139"/>
        <v>82.402296535224494</v>
      </c>
      <c r="CA280" s="45">
        <v>2008</v>
      </c>
      <c r="CB280" s="55">
        <f t="shared" si="137"/>
        <v>13.26199243337069</v>
      </c>
      <c r="CC280" s="46" t="s">
        <v>490</v>
      </c>
      <c r="CD280" s="46" t="s">
        <v>71</v>
      </c>
      <c r="CE280" s="71" t="s">
        <v>783</v>
      </c>
      <c r="CF280" s="46">
        <v>1</v>
      </c>
      <c r="CG280" s="46" t="str">
        <f t="shared" si="145"/>
        <v>No</v>
      </c>
      <c r="CH280" s="46" t="s">
        <v>29</v>
      </c>
      <c r="CI280" s="56">
        <v>3240</v>
      </c>
      <c r="CJ280" s="46" t="s">
        <v>180</v>
      </c>
      <c r="CK280" s="79">
        <f>CI280*2</f>
        <v>6480</v>
      </c>
      <c r="CL280" s="49" t="s">
        <v>29</v>
      </c>
      <c r="CM280" s="50">
        <v>0</v>
      </c>
      <c r="CN280" s="50"/>
      <c r="CO280" s="50"/>
      <c r="CP280" s="46" t="s">
        <v>23</v>
      </c>
      <c r="CQ280" s="46" t="s">
        <v>23</v>
      </c>
      <c r="CR280" s="46">
        <v>11</v>
      </c>
      <c r="CS280" s="46" t="s">
        <v>855</v>
      </c>
      <c r="CT280" s="46" t="s">
        <v>963</v>
      </c>
      <c r="CU280" s="46" t="s">
        <v>213</v>
      </c>
      <c r="CV280" s="46" t="s">
        <v>23</v>
      </c>
      <c r="CW280" s="46">
        <v>2</v>
      </c>
      <c r="CX280" s="49" t="s">
        <v>923</v>
      </c>
      <c r="CY280" s="49" t="s">
        <v>261</v>
      </c>
      <c r="CZ280" s="49">
        <v>0</v>
      </c>
      <c r="DA280" s="49">
        <v>0</v>
      </c>
      <c r="DB280" s="57">
        <v>593395</v>
      </c>
      <c r="DC280" s="58">
        <v>48.78</v>
      </c>
      <c r="DD280" s="58">
        <v>6.5699999999999994</v>
      </c>
      <c r="DE280" s="58">
        <v>10.93</v>
      </c>
      <c r="DF280" s="58">
        <v>30.69</v>
      </c>
      <c r="DG280" s="58">
        <v>3.0299999999999994</v>
      </c>
      <c r="DH280" s="58">
        <v>51.22</v>
      </c>
      <c r="DI280" s="45" t="s">
        <v>35</v>
      </c>
      <c r="DJ280" s="59" t="str">
        <f t="shared" si="133"/>
        <v>No single majority group</v>
      </c>
      <c r="DK280" s="60">
        <v>593395</v>
      </c>
      <c r="DL280" s="58">
        <v>48.78</v>
      </c>
      <c r="DM280" s="58">
        <v>6.5699999999999994</v>
      </c>
      <c r="DN280" s="58">
        <v>10.93</v>
      </c>
      <c r="DO280" s="58">
        <v>51.22</v>
      </c>
      <c r="DP280" s="66">
        <v>48.6</v>
      </c>
      <c r="DQ280" s="67">
        <v>76772.73</v>
      </c>
      <c r="DR280" s="53">
        <v>12.3</v>
      </c>
      <c r="DS280" s="58">
        <v>78.3</v>
      </c>
      <c r="DT280" s="53">
        <v>37.1</v>
      </c>
      <c r="DU280" s="55">
        <v>2.2999999999999998</v>
      </c>
      <c r="DV280" s="102">
        <v>38.4</v>
      </c>
      <c r="DW280" s="53">
        <v>85.7</v>
      </c>
      <c r="DX280" s="53">
        <v>84.5</v>
      </c>
      <c r="DY280" s="53">
        <v>44.924900000000001</v>
      </c>
      <c r="DZ280" s="63"/>
    </row>
    <row r="281" spans="1:130" s="5" customFormat="1" ht="14.25" customHeight="1">
      <c r="A281" s="45">
        <v>1209</v>
      </c>
      <c r="B281" s="46" t="s">
        <v>210</v>
      </c>
      <c r="C281" s="46">
        <v>2010</v>
      </c>
      <c r="D281" s="46" t="s">
        <v>211</v>
      </c>
      <c r="E281" s="46" t="s">
        <v>22</v>
      </c>
      <c r="F281" s="46">
        <v>4</v>
      </c>
      <c r="G281" s="48">
        <v>180000</v>
      </c>
      <c r="H281" s="46" t="s">
        <v>249</v>
      </c>
      <c r="I281" s="46">
        <v>1</v>
      </c>
      <c r="J281" s="46">
        <v>2</v>
      </c>
      <c r="K281" s="49" t="s">
        <v>246</v>
      </c>
      <c r="L281" s="49" t="s">
        <v>30</v>
      </c>
      <c r="M281" s="49" t="s">
        <v>29</v>
      </c>
      <c r="N281" s="49" t="s">
        <v>513</v>
      </c>
      <c r="O281" s="49"/>
      <c r="P281" s="49" t="s">
        <v>34</v>
      </c>
      <c r="Q281" s="49" t="s">
        <v>35</v>
      </c>
      <c r="R281" s="49">
        <v>0</v>
      </c>
      <c r="S281" s="50">
        <f t="shared" si="140"/>
        <v>0</v>
      </c>
      <c r="T281" s="49">
        <v>2</v>
      </c>
      <c r="U281" s="50">
        <f t="shared" si="141"/>
        <v>100</v>
      </c>
      <c r="V281" s="49" t="s">
        <v>172</v>
      </c>
      <c r="W281" s="49">
        <v>0</v>
      </c>
      <c r="X281" s="50">
        <f t="shared" si="142"/>
        <v>0</v>
      </c>
      <c r="Y281" s="51" t="str">
        <f t="shared" si="143"/>
        <v>No</v>
      </c>
      <c r="Z281" s="49" t="s">
        <v>29</v>
      </c>
      <c r="AA281" s="49" t="s">
        <v>35</v>
      </c>
      <c r="AB281" s="49" t="s">
        <v>29</v>
      </c>
      <c r="AC281" s="46" t="s">
        <v>72</v>
      </c>
      <c r="AD281" s="46" t="s">
        <v>27</v>
      </c>
      <c r="AE281" s="46" t="s">
        <v>73</v>
      </c>
      <c r="AF281" s="46" t="s">
        <v>29</v>
      </c>
      <c r="AG281" s="103">
        <v>277907</v>
      </c>
      <c r="AH281" s="52">
        <v>220541</v>
      </c>
      <c r="AI281" s="52">
        <v>220541</v>
      </c>
      <c r="AJ281" s="102">
        <v>79.680000000000007</v>
      </c>
      <c r="AK281" s="104">
        <v>159.36000000000001</v>
      </c>
      <c r="AL281" s="102">
        <v>79.680000000000007</v>
      </c>
      <c r="AM281" s="102">
        <v>79.680000000000007</v>
      </c>
      <c r="AN281" s="53">
        <f t="shared" si="144"/>
        <v>159.36000000000001</v>
      </c>
      <c r="AO281" s="53">
        <v>19.97</v>
      </c>
      <c r="AP281" s="102">
        <v>57366</v>
      </c>
      <c r="AQ281" s="102">
        <v>20.642157268438723</v>
      </c>
      <c r="AR281" s="102">
        <v>436</v>
      </c>
      <c r="AS281" s="108">
        <f>AR281/AI281 *100</f>
        <v>0.19769566656540052</v>
      </c>
      <c r="AT281" s="108"/>
      <c r="AU281" s="108"/>
      <c r="AV281" s="111"/>
      <c r="AW281" s="111"/>
      <c r="AX281" s="102"/>
      <c r="AY281" s="102"/>
      <c r="AZ281" s="102"/>
      <c r="BA281" s="102"/>
      <c r="BB281" s="102"/>
      <c r="BC281" s="102"/>
      <c r="BD281" s="102"/>
      <c r="BE281" s="102"/>
      <c r="BF281" s="102"/>
      <c r="BG281" s="102"/>
      <c r="BH281" s="101"/>
      <c r="BI281" s="102"/>
      <c r="BJ281" s="111"/>
      <c r="BK281" s="111"/>
      <c r="BL281" s="111"/>
      <c r="BM281" s="111"/>
      <c r="BN281" s="102"/>
      <c r="BO281" s="102"/>
      <c r="BP281" s="102"/>
      <c r="BQ281" s="102"/>
      <c r="BR281" s="111"/>
      <c r="BS281" s="54"/>
      <c r="BT281" s="45" t="str">
        <f t="shared" si="134"/>
        <v>No</v>
      </c>
      <c r="BU281" s="45" t="str">
        <f t="shared" si="135"/>
        <v>No</v>
      </c>
      <c r="BV281" s="45" t="str">
        <f t="shared" si="136"/>
        <v>No</v>
      </c>
      <c r="BW281" s="55">
        <f t="shared" si="146"/>
        <v>86.037296535224499</v>
      </c>
      <c r="BX281" s="55">
        <f>(322220 /(322220 +52292 ))*100</f>
        <v>86.037296535224499</v>
      </c>
      <c r="BY281" s="55">
        <v>82.402296535224508</v>
      </c>
      <c r="BZ281" s="55">
        <f t="shared" si="139"/>
        <v>82.402296535224494</v>
      </c>
      <c r="CA281" s="45">
        <v>2008</v>
      </c>
      <c r="CB281" s="55">
        <f t="shared" si="137"/>
        <v>37.165968705499708</v>
      </c>
      <c r="CC281" s="46" t="s">
        <v>490</v>
      </c>
      <c r="CD281" s="46" t="s">
        <v>71</v>
      </c>
      <c r="CE281" s="71" t="s">
        <v>783</v>
      </c>
      <c r="CF281" s="46">
        <v>1</v>
      </c>
      <c r="CG281" s="46" t="str">
        <f t="shared" si="145"/>
        <v>No</v>
      </c>
      <c r="CH281" s="46" t="s">
        <v>29</v>
      </c>
      <c r="CI281" s="56">
        <v>3300</v>
      </c>
      <c r="CJ281" s="46" t="s">
        <v>180</v>
      </c>
      <c r="CK281" s="79">
        <f>CI281*2</f>
        <v>6600</v>
      </c>
      <c r="CL281" s="49" t="s">
        <v>29</v>
      </c>
      <c r="CM281" s="50">
        <v>0</v>
      </c>
      <c r="CN281" s="50"/>
      <c r="CO281" s="50"/>
      <c r="CP281" s="46" t="s">
        <v>23</v>
      </c>
      <c r="CQ281" s="46" t="s">
        <v>23</v>
      </c>
      <c r="CR281" s="46">
        <v>11</v>
      </c>
      <c r="CS281" s="46" t="s">
        <v>855</v>
      </c>
      <c r="CT281" s="46" t="s">
        <v>963</v>
      </c>
      <c r="CU281" s="46" t="s">
        <v>213</v>
      </c>
      <c r="CV281" s="46" t="s">
        <v>23</v>
      </c>
      <c r="CW281" s="46">
        <v>3</v>
      </c>
      <c r="CX281" s="49" t="s">
        <v>923</v>
      </c>
      <c r="CY281" s="49" t="s">
        <v>261</v>
      </c>
      <c r="CZ281" s="49">
        <v>0</v>
      </c>
      <c r="DA281" s="49">
        <v>0</v>
      </c>
      <c r="DB281" s="57">
        <v>593395</v>
      </c>
      <c r="DC281" s="58">
        <v>48.35</v>
      </c>
      <c r="DD281" s="58">
        <v>6.2399999999999993</v>
      </c>
      <c r="DE281" s="58">
        <v>11.219999999999999</v>
      </c>
      <c r="DF281" s="58">
        <v>30.9</v>
      </c>
      <c r="DG281" s="58">
        <v>3.2900000000000151</v>
      </c>
      <c r="DH281" s="58">
        <v>51.65</v>
      </c>
      <c r="DI281" s="45" t="s">
        <v>35</v>
      </c>
      <c r="DJ281" s="59" t="str">
        <f t="shared" si="133"/>
        <v>No single majority group</v>
      </c>
      <c r="DK281" s="60">
        <v>593395</v>
      </c>
      <c r="DL281" s="58">
        <v>48.35</v>
      </c>
      <c r="DM281" s="58">
        <v>6.2399999999999993</v>
      </c>
      <c r="DN281" s="58">
        <v>11.219999999999999</v>
      </c>
      <c r="DO281" s="58">
        <v>51.65</v>
      </c>
      <c r="DP281" s="66">
        <v>48.5</v>
      </c>
      <c r="DQ281" s="67">
        <v>76097.77</v>
      </c>
      <c r="DR281" s="53">
        <v>13.2</v>
      </c>
      <c r="DS281" s="58">
        <v>78.400000000000006</v>
      </c>
      <c r="DT281" s="53">
        <v>36.9</v>
      </c>
      <c r="DU281" s="55">
        <v>2.31</v>
      </c>
      <c r="DV281" s="102">
        <v>38.5</v>
      </c>
      <c r="DW281" s="53">
        <v>85.9</v>
      </c>
      <c r="DX281" s="53">
        <v>85.94</v>
      </c>
      <c r="DY281" s="53">
        <v>46.107300000000002</v>
      </c>
      <c r="DZ281" s="63"/>
    </row>
    <row r="282" spans="1:130" s="5" customFormat="1" ht="14.25" customHeight="1">
      <c r="A282" s="45">
        <v>1211</v>
      </c>
      <c r="B282" s="46" t="s">
        <v>210</v>
      </c>
      <c r="C282" s="46">
        <v>2010</v>
      </c>
      <c r="D282" s="46" t="s">
        <v>219</v>
      </c>
      <c r="E282" s="46" t="s">
        <v>92</v>
      </c>
      <c r="F282" s="46">
        <v>4</v>
      </c>
      <c r="G282" s="48">
        <v>108000</v>
      </c>
      <c r="H282" s="46" t="s">
        <v>249</v>
      </c>
      <c r="I282" s="46">
        <v>1</v>
      </c>
      <c r="J282" s="46">
        <v>6</v>
      </c>
      <c r="K282" s="49" t="s">
        <v>247</v>
      </c>
      <c r="L282" s="49" t="s">
        <v>40</v>
      </c>
      <c r="M282" s="49" t="s">
        <v>35</v>
      </c>
      <c r="N282" s="49" t="s">
        <v>512</v>
      </c>
      <c r="O282" s="49"/>
      <c r="P282" s="49" t="s">
        <v>174</v>
      </c>
      <c r="Q282" s="49" t="s">
        <v>29</v>
      </c>
      <c r="R282" s="49">
        <v>4</v>
      </c>
      <c r="S282" s="50">
        <f t="shared" si="140"/>
        <v>66.666666666666657</v>
      </c>
      <c r="T282" s="49">
        <v>1</v>
      </c>
      <c r="U282" s="50">
        <f t="shared" si="141"/>
        <v>16.666666666666664</v>
      </c>
      <c r="V282" s="49" t="s">
        <v>891</v>
      </c>
      <c r="W282" s="49">
        <v>1</v>
      </c>
      <c r="X282" s="50">
        <f t="shared" si="142"/>
        <v>16.666666666666664</v>
      </c>
      <c r="Y282" s="51" t="str">
        <f t="shared" si="143"/>
        <v>No</v>
      </c>
      <c r="Z282" s="49" t="s">
        <v>35</v>
      </c>
      <c r="AA282" s="49" t="s">
        <v>23</v>
      </c>
      <c r="AB282" s="49" t="s">
        <v>23</v>
      </c>
      <c r="AC282" s="46" t="s">
        <v>225</v>
      </c>
      <c r="AD282" s="46" t="s">
        <v>27</v>
      </c>
      <c r="AE282" s="46" t="s">
        <v>73</v>
      </c>
      <c r="AF282" s="46" t="s">
        <v>29</v>
      </c>
      <c r="AG282" s="120">
        <v>28911</v>
      </c>
      <c r="AH282" s="52">
        <v>24113</v>
      </c>
      <c r="AI282" s="52">
        <v>24113</v>
      </c>
      <c r="AJ282" s="111">
        <v>40.26</v>
      </c>
      <c r="AK282" s="104">
        <v>80.52</v>
      </c>
      <c r="AL282" s="111">
        <v>50.57</v>
      </c>
      <c r="AM282" s="111">
        <v>50.57</v>
      </c>
      <c r="AN282" s="53">
        <f t="shared" si="144"/>
        <v>101.14</v>
      </c>
      <c r="AO282" s="53">
        <v>41.09</v>
      </c>
      <c r="AP282" s="111">
        <v>4731</v>
      </c>
      <c r="AQ282" s="111">
        <v>16.399999999999999</v>
      </c>
      <c r="AR282" s="111">
        <v>151</v>
      </c>
      <c r="AS282" s="111">
        <v>0.6</v>
      </c>
      <c r="AT282" s="111">
        <v>86</v>
      </c>
      <c r="AU282" s="111">
        <v>0.4</v>
      </c>
      <c r="AV282" s="111">
        <v>11</v>
      </c>
      <c r="AW282" s="111">
        <v>0</v>
      </c>
      <c r="AX282" s="111">
        <v>4217</v>
      </c>
      <c r="AY282" s="111">
        <v>17.399999999999999</v>
      </c>
      <c r="AZ282" s="111"/>
      <c r="BA282" s="111"/>
      <c r="BB282" s="111"/>
      <c r="BC282" s="111"/>
      <c r="BD282" s="111">
        <v>111</v>
      </c>
      <c r="BE282" s="111">
        <v>0.5</v>
      </c>
      <c r="BF282" s="111">
        <v>4440</v>
      </c>
      <c r="BG282" s="111">
        <v>18.399999999999999</v>
      </c>
      <c r="BH282" s="111">
        <v>1489</v>
      </c>
      <c r="BI282" s="111">
        <v>6.18</v>
      </c>
      <c r="BJ282" s="111">
        <v>332</v>
      </c>
      <c r="BK282" s="111">
        <v>1.4</v>
      </c>
      <c r="BL282" s="111">
        <v>1157</v>
      </c>
      <c r="BM282" s="111">
        <v>4.8</v>
      </c>
      <c r="BN282" s="111"/>
      <c r="BO282" s="111"/>
      <c r="BP282" s="111"/>
      <c r="BQ282" s="111"/>
      <c r="BR282" s="111" t="s">
        <v>967</v>
      </c>
      <c r="BS282" s="54" t="s">
        <v>35</v>
      </c>
      <c r="BT282" s="45" t="str">
        <f t="shared" si="134"/>
        <v>Yes</v>
      </c>
      <c r="BU282" s="45" t="str">
        <f t="shared" si="135"/>
        <v>Yes</v>
      </c>
      <c r="BV282" s="45" t="str">
        <f t="shared" si="136"/>
        <v>Yes</v>
      </c>
      <c r="BW282" s="55">
        <f t="shared" si="146"/>
        <v>86.037296535224499</v>
      </c>
      <c r="BX282" s="55">
        <v>80.790425557740392</v>
      </c>
      <c r="BY282" s="55">
        <v>82.402296535224508</v>
      </c>
      <c r="BZ282" s="55">
        <f t="shared" si="139"/>
        <v>77.155425557740386</v>
      </c>
      <c r="CA282" s="45">
        <v>2008</v>
      </c>
      <c r="CB282" s="55">
        <f t="shared" si="137"/>
        <v>42.956905919868881</v>
      </c>
      <c r="CC282" s="46" t="s">
        <v>490</v>
      </c>
      <c r="CD282" s="46" t="s">
        <v>71</v>
      </c>
      <c r="CE282" s="71" t="s">
        <v>783</v>
      </c>
      <c r="CF282" s="46">
        <v>1</v>
      </c>
      <c r="CG282" s="46" t="str">
        <f t="shared" si="145"/>
        <v>No</v>
      </c>
      <c r="CH282" s="46" t="s">
        <v>35</v>
      </c>
      <c r="CI282" s="56">
        <v>500</v>
      </c>
      <c r="CJ282" s="46" t="s">
        <v>180</v>
      </c>
      <c r="CK282" s="79">
        <v>1000</v>
      </c>
      <c r="CL282" s="49" t="s">
        <v>35</v>
      </c>
      <c r="CM282" s="111">
        <f>(2/6)*100</f>
        <v>33.333333333333329</v>
      </c>
      <c r="CN282" s="111"/>
      <c r="CO282" s="111"/>
      <c r="CP282" s="46" t="s">
        <v>23</v>
      </c>
      <c r="CQ282" s="46" t="s">
        <v>24</v>
      </c>
      <c r="CR282" s="46">
        <v>11</v>
      </c>
      <c r="CS282" s="46" t="s">
        <v>855</v>
      </c>
      <c r="CT282" s="46" t="s">
        <v>856</v>
      </c>
      <c r="CU282" s="46" t="s">
        <v>213</v>
      </c>
      <c r="CV282" s="46" t="s">
        <v>23</v>
      </c>
      <c r="CW282" s="46">
        <v>2</v>
      </c>
      <c r="CX282" s="49" t="s">
        <v>923</v>
      </c>
      <c r="CY282" s="49" t="s">
        <v>261</v>
      </c>
      <c r="CZ282" s="49">
        <v>0</v>
      </c>
      <c r="DA282" s="49">
        <v>0</v>
      </c>
      <c r="DB282" s="64">
        <v>56133</v>
      </c>
      <c r="DC282" s="58">
        <v>74.960000000000008</v>
      </c>
      <c r="DD282" s="58">
        <v>1.73</v>
      </c>
      <c r="DE282" s="58">
        <v>6.2700000000000005</v>
      </c>
      <c r="DF282" s="58">
        <v>14.799999999999999</v>
      </c>
      <c r="DG282" s="58">
        <v>2.1999999999999997</v>
      </c>
      <c r="DH282" s="58">
        <v>25.039999999999996</v>
      </c>
      <c r="DI282" s="45" t="s">
        <v>29</v>
      </c>
      <c r="DJ282" s="59" t="str">
        <f t="shared" si="133"/>
        <v>N/A</v>
      </c>
      <c r="DK282" s="65">
        <v>56133</v>
      </c>
      <c r="DL282" s="58">
        <v>74.960000000000008</v>
      </c>
      <c r="DM282" s="58">
        <v>1.73</v>
      </c>
      <c r="DN282" s="58">
        <v>6.2700000000000005</v>
      </c>
      <c r="DO282" s="58">
        <v>25.039999999999996</v>
      </c>
      <c r="DP282" s="66">
        <v>48.5</v>
      </c>
      <c r="DQ282" s="67">
        <v>76097.77</v>
      </c>
      <c r="DR282" s="53">
        <v>13.2</v>
      </c>
      <c r="DS282" s="58">
        <v>78.400000000000006</v>
      </c>
      <c r="DT282" s="53">
        <v>36.9</v>
      </c>
      <c r="DU282" s="55">
        <v>2.31</v>
      </c>
      <c r="DV282" s="102">
        <v>38.5</v>
      </c>
      <c r="DW282" s="53">
        <v>85.9</v>
      </c>
      <c r="DX282" s="53">
        <v>85.94</v>
      </c>
      <c r="DY282" s="53">
        <v>46.107300000000002</v>
      </c>
      <c r="DZ282" s="63"/>
    </row>
    <row r="283" spans="1:130" s="5" customFormat="1" ht="14.25" customHeight="1">
      <c r="A283" s="45">
        <v>1212</v>
      </c>
      <c r="B283" s="46" t="s">
        <v>210</v>
      </c>
      <c r="C283" s="46">
        <v>2010</v>
      </c>
      <c r="D283" s="46" t="s">
        <v>219</v>
      </c>
      <c r="E283" s="71" t="s">
        <v>80</v>
      </c>
      <c r="F283" s="46">
        <v>4</v>
      </c>
      <c r="G283" s="48">
        <v>108000</v>
      </c>
      <c r="H283" s="46" t="s">
        <v>249</v>
      </c>
      <c r="I283" s="46">
        <v>1</v>
      </c>
      <c r="J283" s="46">
        <v>1</v>
      </c>
      <c r="K283" s="49" t="s">
        <v>214</v>
      </c>
      <c r="L283" s="49" t="s">
        <v>40</v>
      </c>
      <c r="M283" s="49" t="s">
        <v>35</v>
      </c>
      <c r="N283" s="49" t="s">
        <v>513</v>
      </c>
      <c r="O283" s="49"/>
      <c r="P283" s="49" t="s">
        <v>34</v>
      </c>
      <c r="Q283" s="49" t="s">
        <v>35</v>
      </c>
      <c r="R283" s="49">
        <v>1</v>
      </c>
      <c r="S283" s="50">
        <f t="shared" si="140"/>
        <v>100</v>
      </c>
      <c r="T283" s="49" t="str">
        <f>LEFT(V283,2)</f>
        <v xml:space="preserve">1 </v>
      </c>
      <c r="U283" s="50">
        <f t="shared" si="141"/>
        <v>100</v>
      </c>
      <c r="V283" s="49" t="s">
        <v>173</v>
      </c>
      <c r="W283" s="49">
        <v>1</v>
      </c>
      <c r="X283" s="50">
        <f t="shared" si="142"/>
        <v>100</v>
      </c>
      <c r="Y283" s="51" t="str">
        <f t="shared" si="143"/>
        <v>Yes</v>
      </c>
      <c r="Z283" s="49" t="s">
        <v>29</v>
      </c>
      <c r="AA283" s="49" t="s">
        <v>35</v>
      </c>
      <c r="AB283" s="45" t="s">
        <v>35</v>
      </c>
      <c r="AC283" s="46" t="s">
        <v>72</v>
      </c>
      <c r="AD283" s="46" t="s">
        <v>27</v>
      </c>
      <c r="AE283" s="46" t="s">
        <v>73</v>
      </c>
      <c r="AF283" s="46" t="s">
        <v>29</v>
      </c>
      <c r="AG283" s="103">
        <v>23092</v>
      </c>
      <c r="AH283" s="52">
        <v>17180</v>
      </c>
      <c r="AI283" s="52">
        <v>17180</v>
      </c>
      <c r="AJ283" s="102">
        <v>98.56</v>
      </c>
      <c r="AK283" s="104">
        <v>197.12</v>
      </c>
      <c r="AL283" s="111">
        <v>98.56</v>
      </c>
      <c r="AM283" s="111" t="s">
        <v>23</v>
      </c>
      <c r="AN283" s="53">
        <f t="shared" si="144"/>
        <v>197.12</v>
      </c>
      <c r="AO283" s="53" t="s">
        <v>23</v>
      </c>
      <c r="AP283" s="111">
        <v>5912</v>
      </c>
      <c r="AQ283" s="102">
        <v>25.601940065823666</v>
      </c>
      <c r="AR283" s="111">
        <v>1</v>
      </c>
      <c r="AS283" s="108">
        <f>AR283/AI283 *100</f>
        <v>5.8207217694994182E-3</v>
      </c>
      <c r="AT283" s="108"/>
      <c r="AU283" s="108"/>
      <c r="AV283" s="102"/>
      <c r="AW283" s="102"/>
      <c r="AX283" s="111"/>
      <c r="AY283" s="111"/>
      <c r="AZ283" s="111"/>
      <c r="BA283" s="111"/>
      <c r="BB283" s="111"/>
      <c r="BC283" s="111"/>
      <c r="BD283" s="111"/>
      <c r="BE283" s="111"/>
      <c r="BF283" s="111"/>
      <c r="BG283" s="111"/>
      <c r="BH283" s="111"/>
      <c r="BI283" s="111" t="s">
        <v>958</v>
      </c>
      <c r="BJ283" s="102"/>
      <c r="BK283" s="102"/>
      <c r="BL283" s="102"/>
      <c r="BM283" s="102"/>
      <c r="BN283" s="102"/>
      <c r="BO283" s="111"/>
      <c r="BP283" s="111"/>
      <c r="BQ283" s="111"/>
      <c r="BR283" s="102"/>
      <c r="BS283" s="54" t="s">
        <v>23</v>
      </c>
      <c r="BT283" s="45" t="str">
        <f t="shared" si="134"/>
        <v>No</v>
      </c>
      <c r="BU283" s="45" t="str">
        <f t="shared" si="135"/>
        <v>No</v>
      </c>
      <c r="BV283" s="45" t="str">
        <f t="shared" si="136"/>
        <v>No</v>
      </c>
      <c r="BW283" s="55">
        <f t="shared" si="146"/>
        <v>86.037296535224499</v>
      </c>
      <c r="BX283" s="55">
        <v>78.34401118735569</v>
      </c>
      <c r="BY283" s="55">
        <v>82.402296535224508</v>
      </c>
      <c r="BZ283" s="55">
        <f t="shared" si="139"/>
        <v>74.709011187355685</v>
      </c>
      <c r="CA283" s="45">
        <v>2008</v>
      </c>
      <c r="CB283" s="55">
        <f t="shared" si="137"/>
        <v>31.117551168266615</v>
      </c>
      <c r="CC283" s="46" t="s">
        <v>490</v>
      </c>
      <c r="CD283" s="46" t="s">
        <v>71</v>
      </c>
      <c r="CE283" s="71" t="s">
        <v>783</v>
      </c>
      <c r="CF283" s="46">
        <v>1</v>
      </c>
      <c r="CG283" s="46" t="str">
        <f t="shared" si="145"/>
        <v>No</v>
      </c>
      <c r="CH283" s="46" t="s">
        <v>35</v>
      </c>
      <c r="CI283" s="56">
        <v>500</v>
      </c>
      <c r="CJ283" s="46" t="s">
        <v>180</v>
      </c>
      <c r="CK283" s="79">
        <v>1000</v>
      </c>
      <c r="CL283" s="49" t="s">
        <v>35</v>
      </c>
      <c r="CM283" s="50">
        <v>0</v>
      </c>
      <c r="CN283" s="50"/>
      <c r="CO283" s="50"/>
      <c r="CP283" s="46" t="s">
        <v>23</v>
      </c>
      <c r="CQ283" s="46" t="s">
        <v>24</v>
      </c>
      <c r="CR283" s="46">
        <v>11</v>
      </c>
      <c r="CS283" s="46" t="s">
        <v>855</v>
      </c>
      <c r="CT283" s="46" t="s">
        <v>856</v>
      </c>
      <c r="CU283" s="46" t="s">
        <v>213</v>
      </c>
      <c r="CV283" s="46" t="s">
        <v>23</v>
      </c>
      <c r="CW283" s="46">
        <v>3</v>
      </c>
      <c r="CX283" s="49" t="s">
        <v>923</v>
      </c>
      <c r="CY283" s="49" t="s">
        <v>261</v>
      </c>
      <c r="CZ283" s="49">
        <v>0</v>
      </c>
      <c r="DA283" s="49">
        <v>0</v>
      </c>
      <c r="DB283" s="64">
        <v>55210</v>
      </c>
      <c r="DC283" s="58">
        <v>35.82</v>
      </c>
      <c r="DD283" s="58">
        <v>0.62</v>
      </c>
      <c r="DE283" s="58">
        <v>5.62</v>
      </c>
      <c r="DF283" s="58">
        <v>55.44</v>
      </c>
      <c r="DG283" s="58">
        <v>2.5</v>
      </c>
      <c r="DH283" s="58">
        <v>64.179999999999993</v>
      </c>
      <c r="DI283" s="45" t="s">
        <v>35</v>
      </c>
      <c r="DJ283" s="59" t="str">
        <f t="shared" si="133"/>
        <v>Asian</v>
      </c>
      <c r="DK283" s="65">
        <v>55210</v>
      </c>
      <c r="DL283" s="58">
        <v>35.82</v>
      </c>
      <c r="DM283" s="58">
        <v>0.62</v>
      </c>
      <c r="DN283" s="58">
        <v>5.62</v>
      </c>
      <c r="DO283" s="58">
        <v>64.179999999999993</v>
      </c>
      <c r="DP283" s="66">
        <v>48.5</v>
      </c>
      <c r="DQ283" s="67">
        <v>76097.77</v>
      </c>
      <c r="DR283" s="53">
        <v>13.2</v>
      </c>
      <c r="DS283" s="58">
        <v>78.400000000000006</v>
      </c>
      <c r="DT283" s="53">
        <v>36.9</v>
      </c>
      <c r="DU283" s="55">
        <v>2.31</v>
      </c>
      <c r="DV283" s="102">
        <v>38.5</v>
      </c>
      <c r="DW283" s="53">
        <v>85.9</v>
      </c>
      <c r="DX283" s="53">
        <v>85.94</v>
      </c>
      <c r="DY283" s="53">
        <v>46.107300000000002</v>
      </c>
      <c r="DZ283" s="78" t="s">
        <v>935</v>
      </c>
    </row>
    <row r="284" spans="1:130" s="5" customFormat="1" ht="14.25" customHeight="1">
      <c r="A284" s="45">
        <v>1213</v>
      </c>
      <c r="B284" s="46" t="s">
        <v>210</v>
      </c>
      <c r="C284" s="46">
        <v>2010</v>
      </c>
      <c r="D284" s="46" t="s">
        <v>219</v>
      </c>
      <c r="E284" s="46" t="s">
        <v>101</v>
      </c>
      <c r="F284" s="46">
        <v>4</v>
      </c>
      <c r="G284" s="48">
        <v>108000</v>
      </c>
      <c r="H284" s="46" t="s">
        <v>249</v>
      </c>
      <c r="I284" s="46">
        <v>1</v>
      </c>
      <c r="J284" s="46">
        <v>14</v>
      </c>
      <c r="K284" s="49" t="s">
        <v>222</v>
      </c>
      <c r="L284" s="49" t="s">
        <v>40</v>
      </c>
      <c r="M284" s="49" t="s">
        <v>35</v>
      </c>
      <c r="N284" s="49" t="s">
        <v>512</v>
      </c>
      <c r="O284" s="49"/>
      <c r="P284" s="49" t="s">
        <v>34</v>
      </c>
      <c r="Q284" s="49" t="s">
        <v>35</v>
      </c>
      <c r="R284" s="49">
        <v>4</v>
      </c>
      <c r="S284" s="50">
        <f t="shared" si="140"/>
        <v>28.571428571428569</v>
      </c>
      <c r="T284" s="49">
        <v>5</v>
      </c>
      <c r="U284" s="50">
        <f t="shared" si="141"/>
        <v>35.714285714285715</v>
      </c>
      <c r="V284" s="81" t="s">
        <v>893</v>
      </c>
      <c r="W284" s="49">
        <v>2</v>
      </c>
      <c r="X284" s="50">
        <f t="shared" si="142"/>
        <v>14.285714285714285</v>
      </c>
      <c r="Y284" s="51" t="str">
        <f t="shared" si="143"/>
        <v>Yes</v>
      </c>
      <c r="Z284" s="49" t="s">
        <v>35</v>
      </c>
      <c r="AA284" s="49" t="s">
        <v>23</v>
      </c>
      <c r="AB284" s="49" t="s">
        <v>23</v>
      </c>
      <c r="AC284" s="46" t="s">
        <v>242</v>
      </c>
      <c r="AD284" s="46" t="s">
        <v>27</v>
      </c>
      <c r="AE284" s="46" t="s">
        <v>73</v>
      </c>
      <c r="AF284" s="46" t="s">
        <v>29</v>
      </c>
      <c r="AG284" s="103">
        <v>25057</v>
      </c>
      <c r="AH284" s="52">
        <v>21342</v>
      </c>
      <c r="AI284" s="52">
        <v>21342</v>
      </c>
      <c r="AJ284" s="102">
        <v>31.48</v>
      </c>
      <c r="AK284" s="104">
        <v>62.96</v>
      </c>
      <c r="AL284" s="108">
        <v>54.08</v>
      </c>
      <c r="AM284" s="108">
        <v>54.08</v>
      </c>
      <c r="AN284" s="53">
        <f t="shared" si="144"/>
        <v>108.16</v>
      </c>
      <c r="AO284" s="53">
        <v>26.93</v>
      </c>
      <c r="AP284" s="108">
        <v>3614</v>
      </c>
      <c r="AQ284" s="108">
        <v>14.4</v>
      </c>
      <c r="AR284" s="108">
        <v>438</v>
      </c>
      <c r="AS284" s="108">
        <v>2</v>
      </c>
      <c r="AT284" s="108">
        <v>357</v>
      </c>
      <c r="AU284" s="108">
        <v>1.7</v>
      </c>
      <c r="AV284" s="102">
        <v>29</v>
      </c>
      <c r="AW284" s="102">
        <v>0.1</v>
      </c>
      <c r="AX284" s="108">
        <v>3024</v>
      </c>
      <c r="AY284" s="108">
        <v>14.1</v>
      </c>
      <c r="AZ284" s="108"/>
      <c r="BA284" s="108"/>
      <c r="BB284" s="108"/>
      <c r="BC284" s="108"/>
      <c r="BD284" s="108">
        <v>158</v>
      </c>
      <c r="BE284" s="108">
        <v>0.7</v>
      </c>
      <c r="BF284" s="108">
        <v>3559</v>
      </c>
      <c r="BG284" s="108">
        <v>16.600000000000001</v>
      </c>
      <c r="BH284" s="108">
        <v>4664</v>
      </c>
      <c r="BI284" s="108">
        <v>22.12</v>
      </c>
      <c r="BJ284" s="102">
        <v>1998</v>
      </c>
      <c r="BK284" s="102">
        <v>9.5</v>
      </c>
      <c r="BL284" s="102">
        <v>2666</v>
      </c>
      <c r="BM284" s="102">
        <v>12.6</v>
      </c>
      <c r="BN284" s="102"/>
      <c r="BO284" s="108"/>
      <c r="BP284" s="108"/>
      <c r="BQ284" s="108"/>
      <c r="BR284" s="102" t="s">
        <v>967</v>
      </c>
      <c r="BS284" s="54" t="s">
        <v>29</v>
      </c>
      <c r="BT284" s="45" t="str">
        <f t="shared" si="134"/>
        <v>Yes</v>
      </c>
      <c r="BU284" s="45" t="str">
        <f t="shared" si="135"/>
        <v>Yes</v>
      </c>
      <c r="BV284" s="45" t="str">
        <f t="shared" si="136"/>
        <v>Yes</v>
      </c>
      <c r="BW284" s="55">
        <f t="shared" si="146"/>
        <v>86.037296535224499</v>
      </c>
      <c r="BX284" s="55">
        <v>87.814650558189328</v>
      </c>
      <c r="BY284" s="55">
        <v>82.402296535224508</v>
      </c>
      <c r="BZ284" s="55">
        <f t="shared" si="139"/>
        <v>84.179650558189323</v>
      </c>
      <c r="CA284" s="45">
        <v>2008</v>
      </c>
      <c r="CB284" s="55">
        <f t="shared" si="137"/>
        <v>37.030867732028526</v>
      </c>
      <c r="CC284" s="46" t="s">
        <v>490</v>
      </c>
      <c r="CD284" s="46" t="s">
        <v>71</v>
      </c>
      <c r="CE284" s="71" t="s">
        <v>783</v>
      </c>
      <c r="CF284" s="46">
        <v>1</v>
      </c>
      <c r="CG284" s="46" t="str">
        <f t="shared" si="145"/>
        <v>No</v>
      </c>
      <c r="CH284" s="46" t="s">
        <v>35</v>
      </c>
      <c r="CI284" s="56">
        <v>500</v>
      </c>
      <c r="CJ284" s="46" t="s">
        <v>180</v>
      </c>
      <c r="CK284" s="79">
        <v>1000</v>
      </c>
      <c r="CL284" s="49" t="s">
        <v>35</v>
      </c>
      <c r="CM284" s="50">
        <f>(6/14)*100</f>
        <v>42.857142857142854</v>
      </c>
      <c r="CN284" s="50"/>
      <c r="CO284" s="50"/>
      <c r="CP284" s="46" t="s">
        <v>23</v>
      </c>
      <c r="CQ284" s="46" t="s">
        <v>24</v>
      </c>
      <c r="CR284" s="46">
        <v>11</v>
      </c>
      <c r="CS284" s="46" t="s">
        <v>855</v>
      </c>
      <c r="CT284" s="46" t="s">
        <v>856</v>
      </c>
      <c r="CU284" s="46" t="s">
        <v>213</v>
      </c>
      <c r="CV284" s="46" t="s">
        <v>23</v>
      </c>
      <c r="CW284" s="46">
        <v>2</v>
      </c>
      <c r="CX284" s="49" t="s">
        <v>923</v>
      </c>
      <c r="CY284" s="49" t="s">
        <v>261</v>
      </c>
      <c r="CZ284" s="49">
        <v>0</v>
      </c>
      <c r="DA284" s="49">
        <v>0</v>
      </c>
      <c r="DB284" s="64">
        <v>57633</v>
      </c>
      <c r="DC284" s="58">
        <v>48.74</v>
      </c>
      <c r="DD284" s="58">
        <v>10.639999999999999</v>
      </c>
      <c r="DE284" s="58">
        <v>10.66</v>
      </c>
      <c r="DF284" s="58">
        <v>26.200000000000003</v>
      </c>
      <c r="DG284" s="58">
        <v>3.6999999999999997</v>
      </c>
      <c r="DH284" s="58">
        <v>51.259999999999991</v>
      </c>
      <c r="DI284" s="45" t="s">
        <v>35</v>
      </c>
      <c r="DJ284" s="59" t="str">
        <f t="shared" ref="DJ284:DJ299" si="147">IF(DH284&lt;50,"N/A",IF(DD284&gt;50,"African American",IF(DE284&gt;50,"Latino",IF(DF284&gt;50,"Asian","No single majority group"))))</f>
        <v>No single majority group</v>
      </c>
      <c r="DK284" s="65">
        <v>57633</v>
      </c>
      <c r="DL284" s="58">
        <v>48.74</v>
      </c>
      <c r="DM284" s="58">
        <v>10.639999999999999</v>
      </c>
      <c r="DN284" s="58">
        <v>10.66</v>
      </c>
      <c r="DO284" s="58">
        <v>51.259999999999991</v>
      </c>
      <c r="DP284" s="66">
        <v>48.5</v>
      </c>
      <c r="DQ284" s="67">
        <v>76097.77</v>
      </c>
      <c r="DR284" s="53">
        <v>13.2</v>
      </c>
      <c r="DS284" s="58">
        <v>78.400000000000006</v>
      </c>
      <c r="DT284" s="53">
        <v>36.9</v>
      </c>
      <c r="DU284" s="55">
        <v>2.31</v>
      </c>
      <c r="DV284" s="102">
        <v>38.5</v>
      </c>
      <c r="DW284" s="53">
        <v>85.9</v>
      </c>
      <c r="DX284" s="53">
        <v>85.94</v>
      </c>
      <c r="DY284" s="53">
        <v>46.107300000000002</v>
      </c>
      <c r="DZ284" s="63"/>
    </row>
    <row r="285" spans="1:130" s="5" customFormat="1" ht="14.25" customHeight="1">
      <c r="A285" s="45">
        <v>1214</v>
      </c>
      <c r="B285" s="46" t="s">
        <v>210</v>
      </c>
      <c r="C285" s="46">
        <v>2010</v>
      </c>
      <c r="D285" s="46" t="s">
        <v>219</v>
      </c>
      <c r="E285" s="46" t="s">
        <v>86</v>
      </c>
      <c r="F285" s="46">
        <v>4</v>
      </c>
      <c r="G285" s="48">
        <v>108000</v>
      </c>
      <c r="H285" s="46" t="s">
        <v>249</v>
      </c>
      <c r="I285" s="46">
        <v>1</v>
      </c>
      <c r="J285" s="46">
        <v>4</v>
      </c>
      <c r="K285" s="49" t="s">
        <v>223</v>
      </c>
      <c r="L285" s="49" t="s">
        <v>30</v>
      </c>
      <c r="M285" s="49" t="s">
        <v>29</v>
      </c>
      <c r="N285" s="49" t="s">
        <v>512</v>
      </c>
      <c r="O285" s="49"/>
      <c r="P285" s="49" t="s">
        <v>174</v>
      </c>
      <c r="Q285" s="49" t="s">
        <v>29</v>
      </c>
      <c r="R285" s="49">
        <v>1</v>
      </c>
      <c r="S285" s="50">
        <f t="shared" si="140"/>
        <v>25</v>
      </c>
      <c r="T285" s="49" t="str">
        <f>LEFT(V285,2)</f>
        <v>0</v>
      </c>
      <c r="U285" s="50">
        <f t="shared" si="141"/>
        <v>0</v>
      </c>
      <c r="V285" s="49">
        <v>0</v>
      </c>
      <c r="W285" s="49">
        <v>0</v>
      </c>
      <c r="X285" s="50">
        <f t="shared" si="142"/>
        <v>0</v>
      </c>
      <c r="Y285" s="51" t="str">
        <f t="shared" si="143"/>
        <v>No</v>
      </c>
      <c r="Z285" s="49" t="s">
        <v>35</v>
      </c>
      <c r="AA285" s="49" t="s">
        <v>23</v>
      </c>
      <c r="AB285" s="49" t="s">
        <v>23</v>
      </c>
      <c r="AC285" s="46" t="s">
        <v>225</v>
      </c>
      <c r="AD285" s="46" t="s">
        <v>27</v>
      </c>
      <c r="AE285" s="46" t="s">
        <v>73</v>
      </c>
      <c r="AF285" s="46" t="s">
        <v>29</v>
      </c>
      <c r="AG285" s="103">
        <v>38551</v>
      </c>
      <c r="AH285" s="52">
        <v>34968</v>
      </c>
      <c r="AI285" s="52">
        <v>34968</v>
      </c>
      <c r="AJ285" s="102">
        <v>42.41</v>
      </c>
      <c r="AK285" s="104">
        <v>84.82</v>
      </c>
      <c r="AL285" s="108">
        <v>55.39</v>
      </c>
      <c r="AM285" s="108">
        <v>55.39</v>
      </c>
      <c r="AN285" s="53">
        <f t="shared" si="144"/>
        <v>110.78</v>
      </c>
      <c r="AO285" s="53">
        <v>35.58</v>
      </c>
      <c r="AP285" s="108">
        <v>3522</v>
      </c>
      <c r="AQ285" s="108">
        <v>9.1</v>
      </c>
      <c r="AR285" s="108">
        <v>146</v>
      </c>
      <c r="AS285" s="108">
        <v>0.4</v>
      </c>
      <c r="AT285" s="108">
        <v>79</v>
      </c>
      <c r="AU285" s="108">
        <v>0.2</v>
      </c>
      <c r="AV285" s="111">
        <v>15</v>
      </c>
      <c r="AW285" s="111">
        <v>0</v>
      </c>
      <c r="AX285" s="108">
        <v>5050</v>
      </c>
      <c r="AY285" s="108">
        <v>14.4</v>
      </c>
      <c r="AZ285" s="108"/>
      <c r="BA285" s="108"/>
      <c r="BB285" s="108"/>
      <c r="BC285" s="108"/>
      <c r="BD285" s="108">
        <v>111</v>
      </c>
      <c r="BE285" s="108">
        <v>0.3</v>
      </c>
      <c r="BF285" s="108">
        <v>5268</v>
      </c>
      <c r="BG285" s="108">
        <v>15</v>
      </c>
      <c r="BH285" s="108">
        <v>2009</v>
      </c>
      <c r="BI285" s="108">
        <v>5.75</v>
      </c>
      <c r="BJ285" s="111">
        <v>4</v>
      </c>
      <c r="BK285" s="111">
        <v>0</v>
      </c>
      <c r="BL285" s="111">
        <v>2005</v>
      </c>
      <c r="BM285" s="111">
        <v>5.7</v>
      </c>
      <c r="BN285" s="102"/>
      <c r="BO285" s="108"/>
      <c r="BP285" s="108"/>
      <c r="BQ285" s="108"/>
      <c r="BR285" s="111" t="s">
        <v>967</v>
      </c>
      <c r="BS285" s="54" t="s">
        <v>29</v>
      </c>
      <c r="BT285" s="45" t="str">
        <f t="shared" si="134"/>
        <v>Yes</v>
      </c>
      <c r="BU285" s="45" t="str">
        <f t="shared" si="135"/>
        <v>Yes</v>
      </c>
      <c r="BV285" s="45" t="str">
        <f t="shared" si="136"/>
        <v>No</v>
      </c>
      <c r="BW285" s="55">
        <f t="shared" si="146"/>
        <v>86.037296535224499</v>
      </c>
      <c r="BX285" s="55">
        <v>93.736282289380384</v>
      </c>
      <c r="BY285" s="55">
        <v>82.402296535224508</v>
      </c>
      <c r="BZ285" s="55">
        <f t="shared" si="139"/>
        <v>90.101282289380379</v>
      </c>
      <c r="CA285" s="45">
        <v>2008</v>
      </c>
      <c r="CB285" s="55">
        <f t="shared" si="137"/>
        <v>57.408349887540844</v>
      </c>
      <c r="CC285" s="46" t="s">
        <v>490</v>
      </c>
      <c r="CD285" s="46" t="s">
        <v>71</v>
      </c>
      <c r="CE285" s="71" t="s">
        <v>783</v>
      </c>
      <c r="CF285" s="46">
        <v>1</v>
      </c>
      <c r="CG285" s="46" t="str">
        <f t="shared" si="145"/>
        <v>No</v>
      </c>
      <c r="CH285" s="46" t="s">
        <v>35</v>
      </c>
      <c r="CI285" s="56">
        <v>500</v>
      </c>
      <c r="CJ285" s="46" t="s">
        <v>180</v>
      </c>
      <c r="CK285" s="79">
        <v>1000</v>
      </c>
      <c r="CL285" s="49" t="s">
        <v>35</v>
      </c>
      <c r="CM285" s="50">
        <f>(4/4)*100</f>
        <v>100</v>
      </c>
      <c r="CN285" s="50"/>
      <c r="CO285" s="50"/>
      <c r="CP285" s="46" t="s">
        <v>23</v>
      </c>
      <c r="CQ285" s="46" t="s">
        <v>24</v>
      </c>
      <c r="CR285" s="46">
        <v>11</v>
      </c>
      <c r="CS285" s="46" t="s">
        <v>855</v>
      </c>
      <c r="CT285" s="46" t="s">
        <v>856</v>
      </c>
      <c r="CU285" s="46" t="s">
        <v>213</v>
      </c>
      <c r="CV285" s="46" t="s">
        <v>23</v>
      </c>
      <c r="CW285" s="46">
        <v>2</v>
      </c>
      <c r="CX285" s="49" t="s">
        <v>923</v>
      </c>
      <c r="CY285" s="49" t="s">
        <v>261</v>
      </c>
      <c r="CZ285" s="49">
        <v>0</v>
      </c>
      <c r="DA285" s="49">
        <v>0</v>
      </c>
      <c r="DB285" s="64">
        <v>60911</v>
      </c>
      <c r="DC285" s="58">
        <v>70.84</v>
      </c>
      <c r="DD285" s="58">
        <v>3.46</v>
      </c>
      <c r="DE285" s="58">
        <v>11.15</v>
      </c>
      <c r="DF285" s="58">
        <v>11.49</v>
      </c>
      <c r="DG285" s="58">
        <v>3.1</v>
      </c>
      <c r="DH285" s="58">
        <v>29.159999999999997</v>
      </c>
      <c r="DI285" s="45" t="s">
        <v>29</v>
      </c>
      <c r="DJ285" s="59" t="str">
        <f t="shared" si="147"/>
        <v>N/A</v>
      </c>
      <c r="DK285" s="65">
        <v>60911</v>
      </c>
      <c r="DL285" s="58">
        <v>70.84</v>
      </c>
      <c r="DM285" s="58">
        <v>3.46</v>
      </c>
      <c r="DN285" s="58">
        <v>11.15</v>
      </c>
      <c r="DO285" s="58">
        <v>29.159999999999997</v>
      </c>
      <c r="DP285" s="66">
        <v>48.5</v>
      </c>
      <c r="DQ285" s="67">
        <v>76097.77</v>
      </c>
      <c r="DR285" s="53">
        <v>13.2</v>
      </c>
      <c r="DS285" s="58">
        <v>78.400000000000006</v>
      </c>
      <c r="DT285" s="53">
        <v>36.9</v>
      </c>
      <c r="DU285" s="55">
        <v>2.31</v>
      </c>
      <c r="DV285" s="102">
        <v>38.5</v>
      </c>
      <c r="DW285" s="53">
        <v>85.9</v>
      </c>
      <c r="DX285" s="53">
        <v>85.94</v>
      </c>
      <c r="DY285" s="53">
        <v>46.107300000000002</v>
      </c>
      <c r="DZ285" s="63"/>
    </row>
    <row r="286" spans="1:130" s="5" customFormat="1" ht="14.25" customHeight="1">
      <c r="A286" s="45">
        <v>1215</v>
      </c>
      <c r="B286" s="46" t="s">
        <v>210</v>
      </c>
      <c r="C286" s="46">
        <v>2010</v>
      </c>
      <c r="D286" s="46" t="s">
        <v>219</v>
      </c>
      <c r="E286" s="46" t="s">
        <v>224</v>
      </c>
      <c r="F286" s="46">
        <v>4</v>
      </c>
      <c r="G286" s="48">
        <v>108000</v>
      </c>
      <c r="H286" s="46" t="s">
        <v>249</v>
      </c>
      <c r="I286" s="46">
        <v>1</v>
      </c>
      <c r="J286" s="46">
        <v>21</v>
      </c>
      <c r="K286" s="49" t="s">
        <v>226</v>
      </c>
      <c r="L286" s="49" t="s">
        <v>40</v>
      </c>
      <c r="M286" s="49" t="s">
        <v>35</v>
      </c>
      <c r="N286" s="49" t="s">
        <v>512</v>
      </c>
      <c r="O286" s="49"/>
      <c r="P286" s="49" t="s">
        <v>201</v>
      </c>
      <c r="Q286" s="49" t="s">
        <v>35</v>
      </c>
      <c r="R286" s="49">
        <v>10</v>
      </c>
      <c r="S286" s="50">
        <f t="shared" si="140"/>
        <v>47.619047619047613</v>
      </c>
      <c r="T286" s="49">
        <v>14</v>
      </c>
      <c r="U286" s="50">
        <f t="shared" si="141"/>
        <v>66.666666666666657</v>
      </c>
      <c r="V286" s="49" t="s">
        <v>889</v>
      </c>
      <c r="W286" s="49">
        <v>8</v>
      </c>
      <c r="X286" s="50">
        <f t="shared" si="142"/>
        <v>38.095238095238095</v>
      </c>
      <c r="Y286" s="51" t="str">
        <f t="shared" si="143"/>
        <v>Yes</v>
      </c>
      <c r="Z286" s="49" t="s">
        <v>35</v>
      </c>
      <c r="AA286" s="49" t="s">
        <v>23</v>
      </c>
      <c r="AB286" s="49" t="s">
        <v>23</v>
      </c>
      <c r="AC286" s="46" t="s">
        <v>248</v>
      </c>
      <c r="AD286" s="46" t="s">
        <v>27</v>
      </c>
      <c r="AE286" s="46" t="s">
        <v>73</v>
      </c>
      <c r="AF286" s="46" t="s">
        <v>29</v>
      </c>
      <c r="AG286" s="103">
        <v>20550</v>
      </c>
      <c r="AH286" s="52">
        <v>18194</v>
      </c>
      <c r="AI286" s="52">
        <v>18194</v>
      </c>
      <c r="AJ286" s="102">
        <v>11.77</v>
      </c>
      <c r="AK286" s="104">
        <v>23.54</v>
      </c>
      <c r="AL286" s="102">
        <v>52.7</v>
      </c>
      <c r="AM286" s="102">
        <v>52.7</v>
      </c>
      <c r="AN286" s="53">
        <f t="shared" si="144"/>
        <v>105.4</v>
      </c>
      <c r="AO286" s="53">
        <v>11.83</v>
      </c>
      <c r="AP286" s="102">
        <v>2242</v>
      </c>
      <c r="AQ286" s="102">
        <v>10.9</v>
      </c>
      <c r="AR286" s="102">
        <v>633</v>
      </c>
      <c r="AS286" s="102">
        <v>3.5</v>
      </c>
      <c r="AT286" s="102">
        <v>500</v>
      </c>
      <c r="AU286" s="102">
        <v>2.7</v>
      </c>
      <c r="AV286" s="111">
        <v>105</v>
      </c>
      <c r="AW286" s="111">
        <v>0.6</v>
      </c>
      <c r="AX286" s="102">
        <v>2950</v>
      </c>
      <c r="AY286" s="102">
        <v>16.100000000000001</v>
      </c>
      <c r="AZ286" s="102"/>
      <c r="BA286" s="102"/>
      <c r="BB286" s="102"/>
      <c r="BC286" s="102"/>
      <c r="BD286" s="102">
        <v>166</v>
      </c>
      <c r="BE286" s="102">
        <v>0.9</v>
      </c>
      <c r="BF286" s="102">
        <v>3660</v>
      </c>
      <c r="BG286" s="102">
        <v>20</v>
      </c>
      <c r="BH286" s="102">
        <v>9503</v>
      </c>
      <c r="BI286" s="102">
        <v>53.36</v>
      </c>
      <c r="BJ286" s="111">
        <v>4631</v>
      </c>
      <c r="BK286" s="111">
        <v>26</v>
      </c>
      <c r="BL286" s="111">
        <v>4872</v>
      </c>
      <c r="BM286" s="111">
        <v>27.4</v>
      </c>
      <c r="BN286" s="102"/>
      <c r="BO286" s="102"/>
      <c r="BP286" s="102"/>
      <c r="BQ286" s="102"/>
      <c r="BR286" s="111" t="s">
        <v>967</v>
      </c>
      <c r="BS286" s="54" t="s">
        <v>35</v>
      </c>
      <c r="BT286" s="45" t="str">
        <f t="shared" si="134"/>
        <v>Yes</v>
      </c>
      <c r="BU286" s="45" t="str">
        <f t="shared" si="135"/>
        <v>Yes</v>
      </c>
      <c r="BV286" s="45" t="str">
        <f t="shared" si="136"/>
        <v>Yes</v>
      </c>
      <c r="BW286" s="55">
        <f t="shared" si="146"/>
        <v>86.037296535224499</v>
      </c>
      <c r="BX286" s="55">
        <v>89.145370605983501</v>
      </c>
      <c r="BY286" s="55">
        <v>82.402296535224508</v>
      </c>
      <c r="BZ286" s="55">
        <f t="shared" si="139"/>
        <v>85.510370605983496</v>
      </c>
      <c r="CA286" s="45">
        <v>2008</v>
      </c>
      <c r="CB286" s="55">
        <f t="shared" si="137"/>
        <v>31.87679585114584</v>
      </c>
      <c r="CC286" s="46" t="s">
        <v>490</v>
      </c>
      <c r="CD286" s="46" t="s">
        <v>71</v>
      </c>
      <c r="CE286" s="71" t="s">
        <v>783</v>
      </c>
      <c r="CF286" s="46">
        <v>1</v>
      </c>
      <c r="CG286" s="46" t="str">
        <f t="shared" si="145"/>
        <v>No</v>
      </c>
      <c r="CH286" s="46" t="s">
        <v>35</v>
      </c>
      <c r="CI286" s="56">
        <v>500</v>
      </c>
      <c r="CJ286" s="46" t="s">
        <v>180</v>
      </c>
      <c r="CK286" s="79">
        <v>1000</v>
      </c>
      <c r="CL286" s="49" t="s">
        <v>35</v>
      </c>
      <c r="CM286" s="50">
        <f>(10/21)*100</f>
        <v>47.619047619047613</v>
      </c>
      <c r="CN286" s="50"/>
      <c r="CO286" s="50"/>
      <c r="CP286" s="46" t="s">
        <v>23</v>
      </c>
      <c r="CQ286" s="46" t="s">
        <v>24</v>
      </c>
      <c r="CR286" s="46">
        <v>11</v>
      </c>
      <c r="CS286" s="46" t="s">
        <v>855</v>
      </c>
      <c r="CT286" s="46" t="s">
        <v>856</v>
      </c>
      <c r="CU286" s="46" t="s">
        <v>213</v>
      </c>
      <c r="CV286" s="46" t="s">
        <v>23</v>
      </c>
      <c r="CW286" s="46">
        <v>2</v>
      </c>
      <c r="CX286" s="49" t="s">
        <v>923</v>
      </c>
      <c r="CY286" s="49" t="s">
        <v>261</v>
      </c>
      <c r="CZ286" s="49">
        <v>0</v>
      </c>
      <c r="DA286" s="49">
        <v>0</v>
      </c>
      <c r="DB286" s="64">
        <v>57076</v>
      </c>
      <c r="DC286" s="58">
        <v>25.650000000000002</v>
      </c>
      <c r="DD286" s="58">
        <v>21.11</v>
      </c>
      <c r="DE286" s="58">
        <v>15.76</v>
      </c>
      <c r="DF286" s="58">
        <v>33.26</v>
      </c>
      <c r="DG286" s="58">
        <v>4.2</v>
      </c>
      <c r="DH286" s="58">
        <v>74.350000000000009</v>
      </c>
      <c r="DI286" s="45" t="s">
        <v>35</v>
      </c>
      <c r="DJ286" s="59" t="str">
        <f t="shared" si="147"/>
        <v>No single majority group</v>
      </c>
      <c r="DK286" s="65">
        <v>57076</v>
      </c>
      <c r="DL286" s="58">
        <v>25.650000000000002</v>
      </c>
      <c r="DM286" s="58">
        <v>21.11</v>
      </c>
      <c r="DN286" s="58">
        <v>15.76</v>
      </c>
      <c r="DO286" s="58">
        <v>74.350000000000009</v>
      </c>
      <c r="DP286" s="66">
        <v>48.5</v>
      </c>
      <c r="DQ286" s="67">
        <v>76097.77</v>
      </c>
      <c r="DR286" s="53">
        <v>13.2</v>
      </c>
      <c r="DS286" s="58">
        <v>78.400000000000006</v>
      </c>
      <c r="DT286" s="53">
        <v>36.9</v>
      </c>
      <c r="DU286" s="55">
        <v>2.31</v>
      </c>
      <c r="DV286" s="102">
        <v>38.5</v>
      </c>
      <c r="DW286" s="53">
        <v>85.9</v>
      </c>
      <c r="DX286" s="53">
        <v>85.94</v>
      </c>
      <c r="DY286" s="53">
        <v>46.107300000000002</v>
      </c>
      <c r="DZ286" s="63"/>
    </row>
    <row r="287" spans="1:130" s="5" customFormat="1" ht="14.25" customHeight="1">
      <c r="A287" s="45">
        <v>1210</v>
      </c>
      <c r="B287" s="46" t="s">
        <v>210</v>
      </c>
      <c r="C287" s="46">
        <v>2010</v>
      </c>
      <c r="D287" s="46" t="s">
        <v>217</v>
      </c>
      <c r="E287" s="46" t="s">
        <v>22</v>
      </c>
      <c r="F287" s="46">
        <v>4</v>
      </c>
      <c r="G287" s="48">
        <v>185000</v>
      </c>
      <c r="H287" s="46" t="s">
        <v>249</v>
      </c>
      <c r="I287" s="46">
        <v>1</v>
      </c>
      <c r="J287" s="46">
        <v>1</v>
      </c>
      <c r="K287" s="49" t="s">
        <v>218</v>
      </c>
      <c r="L287" s="49" t="s">
        <v>30</v>
      </c>
      <c r="M287" s="49" t="s">
        <v>29</v>
      </c>
      <c r="N287" s="49" t="s">
        <v>513</v>
      </c>
      <c r="O287" s="49"/>
      <c r="P287" s="49" t="s">
        <v>34</v>
      </c>
      <c r="Q287" s="49" t="s">
        <v>35</v>
      </c>
      <c r="R287" s="49">
        <v>0</v>
      </c>
      <c r="S287" s="50">
        <f t="shared" si="140"/>
        <v>0</v>
      </c>
      <c r="T287" s="49">
        <v>1</v>
      </c>
      <c r="U287" s="50">
        <f t="shared" si="141"/>
        <v>100</v>
      </c>
      <c r="V287" s="49" t="s">
        <v>173</v>
      </c>
      <c r="W287" s="49">
        <v>0</v>
      </c>
      <c r="X287" s="50">
        <f t="shared" si="142"/>
        <v>0</v>
      </c>
      <c r="Y287" s="51" t="str">
        <f t="shared" si="143"/>
        <v>No</v>
      </c>
      <c r="Z287" s="49" t="s">
        <v>29</v>
      </c>
      <c r="AA287" s="49" t="s">
        <v>35</v>
      </c>
      <c r="AB287" s="49" t="s">
        <v>29</v>
      </c>
      <c r="AC287" s="46" t="s">
        <v>72</v>
      </c>
      <c r="AD287" s="46" t="s">
        <v>27</v>
      </c>
      <c r="AE287" s="46" t="s">
        <v>73</v>
      </c>
      <c r="AF287" s="46" t="s">
        <v>29</v>
      </c>
      <c r="AG287" s="103">
        <v>277907</v>
      </c>
      <c r="AH287" s="52">
        <v>201864</v>
      </c>
      <c r="AI287" s="52">
        <v>201864</v>
      </c>
      <c r="AJ287" s="102">
        <v>98.85</v>
      </c>
      <c r="AK287" s="104">
        <v>197.7</v>
      </c>
      <c r="AL287" s="102">
        <v>98.85</v>
      </c>
      <c r="AM287" s="102" t="s">
        <v>23</v>
      </c>
      <c r="AN287" s="53">
        <f t="shared" si="144"/>
        <v>197.7</v>
      </c>
      <c r="AO287" s="53" t="s">
        <v>23</v>
      </c>
      <c r="AP287" s="102">
        <v>76043</v>
      </c>
      <c r="AQ287" s="102">
        <v>27.362750848305367</v>
      </c>
      <c r="AR287" s="102">
        <v>34</v>
      </c>
      <c r="AS287" s="108">
        <f>AR287/AI287 *100</f>
        <v>1.6843023025403241E-2</v>
      </c>
      <c r="AT287" s="108"/>
      <c r="AU287" s="108"/>
      <c r="AV287" s="111"/>
      <c r="AW287" s="111"/>
      <c r="AX287" s="102"/>
      <c r="AY287" s="102"/>
      <c r="AZ287" s="102"/>
      <c r="BA287" s="102"/>
      <c r="BB287" s="102"/>
      <c r="BC287" s="102"/>
      <c r="BD287" s="102"/>
      <c r="BE287" s="102"/>
      <c r="BF287" s="102"/>
      <c r="BG287" s="102"/>
      <c r="BH287" s="102"/>
      <c r="BI287" s="102"/>
      <c r="BJ287" s="111"/>
      <c r="BK287" s="111"/>
      <c r="BL287" s="111"/>
      <c r="BM287" s="111"/>
      <c r="BN287" s="102"/>
      <c r="BO287" s="102"/>
      <c r="BP287" s="102"/>
      <c r="BQ287" s="102"/>
      <c r="BR287" s="111"/>
      <c r="BS287" s="54" t="s">
        <v>23</v>
      </c>
      <c r="BT287" s="45" t="str">
        <f t="shared" si="134"/>
        <v>No</v>
      </c>
      <c r="BU287" s="45" t="str">
        <f t="shared" si="135"/>
        <v>No</v>
      </c>
      <c r="BV287" s="45" t="str">
        <f t="shared" si="136"/>
        <v>No</v>
      </c>
      <c r="BW287" s="55">
        <f t="shared" si="146"/>
        <v>86.037296535224499</v>
      </c>
      <c r="BX287" s="55">
        <f>(322220 /(322220 +52292 ))*100</f>
        <v>86.037296535224499</v>
      </c>
      <c r="BY287" s="55">
        <v>82.402296535224508</v>
      </c>
      <c r="BZ287" s="55">
        <f t="shared" si="139"/>
        <v>82.402296535224494</v>
      </c>
      <c r="CA287" s="45">
        <v>2008</v>
      </c>
      <c r="CB287" s="55">
        <f t="shared" si="137"/>
        <v>34.018486842659613</v>
      </c>
      <c r="CC287" s="46" t="s">
        <v>490</v>
      </c>
      <c r="CD287" s="46" t="s">
        <v>71</v>
      </c>
      <c r="CE287" s="71" t="s">
        <v>783</v>
      </c>
      <c r="CF287" s="46">
        <v>1</v>
      </c>
      <c r="CG287" s="46" t="str">
        <f t="shared" si="145"/>
        <v>No</v>
      </c>
      <c r="CH287" s="46" t="s">
        <v>29</v>
      </c>
      <c r="CI287" s="56">
        <v>3700</v>
      </c>
      <c r="CJ287" s="46" t="s">
        <v>180</v>
      </c>
      <c r="CK287" s="79">
        <f>CI287*2</f>
        <v>7400</v>
      </c>
      <c r="CL287" s="49" t="s">
        <v>29</v>
      </c>
      <c r="CM287" s="50">
        <v>0</v>
      </c>
      <c r="CN287" s="50"/>
      <c r="CO287" s="50"/>
      <c r="CP287" s="46" t="s">
        <v>23</v>
      </c>
      <c r="CQ287" s="46" t="s">
        <v>23</v>
      </c>
      <c r="CR287" s="46">
        <v>11</v>
      </c>
      <c r="CS287" s="46" t="s">
        <v>855</v>
      </c>
      <c r="CT287" s="46" t="s">
        <v>963</v>
      </c>
      <c r="CU287" s="46" t="s">
        <v>213</v>
      </c>
      <c r="CV287" s="46" t="s">
        <v>23</v>
      </c>
      <c r="CW287" s="46">
        <v>2</v>
      </c>
      <c r="CX287" s="49" t="s">
        <v>923</v>
      </c>
      <c r="CY287" s="49" t="s">
        <v>261</v>
      </c>
      <c r="CZ287" s="49">
        <v>0</v>
      </c>
      <c r="DA287" s="49">
        <v>0</v>
      </c>
      <c r="DB287" s="57">
        <v>593395</v>
      </c>
      <c r="DC287" s="58">
        <v>48.78</v>
      </c>
      <c r="DD287" s="58">
        <v>6.5699999999999994</v>
      </c>
      <c r="DE287" s="58">
        <v>10.93</v>
      </c>
      <c r="DF287" s="58">
        <v>30.69</v>
      </c>
      <c r="DG287" s="58">
        <v>3.0299999999999994</v>
      </c>
      <c r="DH287" s="58">
        <v>51.22</v>
      </c>
      <c r="DI287" s="45" t="s">
        <v>35</v>
      </c>
      <c r="DJ287" s="59" t="str">
        <f t="shared" si="147"/>
        <v>No single majority group</v>
      </c>
      <c r="DK287" s="60">
        <v>593395</v>
      </c>
      <c r="DL287" s="58">
        <v>48.78</v>
      </c>
      <c r="DM287" s="58">
        <v>6.5699999999999994</v>
      </c>
      <c r="DN287" s="58">
        <v>10.93</v>
      </c>
      <c r="DO287" s="58">
        <v>51.22</v>
      </c>
      <c r="DP287" s="66">
        <v>48.5</v>
      </c>
      <c r="DQ287" s="67">
        <v>76097.77</v>
      </c>
      <c r="DR287" s="53">
        <v>13.2</v>
      </c>
      <c r="DS287" s="58">
        <v>78.400000000000006</v>
      </c>
      <c r="DT287" s="53">
        <v>36.9</v>
      </c>
      <c r="DU287" s="55">
        <v>2.31</v>
      </c>
      <c r="DV287" s="102">
        <v>38.5</v>
      </c>
      <c r="DW287" s="53">
        <v>85.9</v>
      </c>
      <c r="DX287" s="53">
        <v>85.94</v>
      </c>
      <c r="DY287" s="53">
        <v>46.107300000000002</v>
      </c>
      <c r="DZ287" s="63"/>
    </row>
    <row r="288" spans="1:130" s="5" customFormat="1" ht="14.25" customHeight="1">
      <c r="A288" s="45">
        <v>1207</v>
      </c>
      <c r="B288" s="46" t="s">
        <v>210</v>
      </c>
      <c r="C288" s="46">
        <v>2011</v>
      </c>
      <c r="D288" s="46" t="s">
        <v>240</v>
      </c>
      <c r="E288" s="46" t="s">
        <v>22</v>
      </c>
      <c r="F288" s="46">
        <v>4</v>
      </c>
      <c r="G288" s="48">
        <v>240000</v>
      </c>
      <c r="H288" s="46" t="s">
        <v>249</v>
      </c>
      <c r="I288" s="46">
        <v>1</v>
      </c>
      <c r="J288" s="46">
        <v>5</v>
      </c>
      <c r="K288" s="49" t="s">
        <v>241</v>
      </c>
      <c r="L288" s="49" t="s">
        <v>30</v>
      </c>
      <c r="M288" s="49" t="s">
        <v>29</v>
      </c>
      <c r="N288" s="49" t="s">
        <v>513</v>
      </c>
      <c r="O288" s="49"/>
      <c r="P288" s="49" t="s">
        <v>857</v>
      </c>
      <c r="Q288" s="49" t="s">
        <v>35</v>
      </c>
      <c r="R288" s="49">
        <v>1</v>
      </c>
      <c r="S288" s="50">
        <f t="shared" si="140"/>
        <v>20</v>
      </c>
      <c r="T288" s="49">
        <v>3</v>
      </c>
      <c r="U288" s="50">
        <f t="shared" si="141"/>
        <v>60</v>
      </c>
      <c r="V288" s="81" t="s">
        <v>797</v>
      </c>
      <c r="W288" s="49">
        <v>0</v>
      </c>
      <c r="X288" s="50">
        <f t="shared" si="142"/>
        <v>0</v>
      </c>
      <c r="Y288" s="51" t="str">
        <f t="shared" si="143"/>
        <v>No</v>
      </c>
      <c r="Z288" s="49" t="s">
        <v>29</v>
      </c>
      <c r="AA288" s="49" t="s">
        <v>35</v>
      </c>
      <c r="AB288" s="49" t="s">
        <v>29</v>
      </c>
      <c r="AC288" s="46" t="s">
        <v>135</v>
      </c>
      <c r="AD288" s="46" t="s">
        <v>27</v>
      </c>
      <c r="AE288" s="46" t="s">
        <v>228</v>
      </c>
      <c r="AF288" s="46" t="s">
        <v>29</v>
      </c>
      <c r="AG288" s="103">
        <v>197242</v>
      </c>
      <c r="AH288" s="52">
        <v>183775</v>
      </c>
      <c r="AI288" s="52">
        <v>183775</v>
      </c>
      <c r="AJ288" s="102">
        <v>41.5</v>
      </c>
      <c r="AK288" s="104">
        <v>83</v>
      </c>
      <c r="AL288" s="111">
        <v>62.26</v>
      </c>
      <c r="AM288" s="111">
        <v>62.26</v>
      </c>
      <c r="AN288" s="53">
        <f t="shared" si="144"/>
        <v>124.52</v>
      </c>
      <c r="AO288" s="53">
        <v>23.64</v>
      </c>
      <c r="AP288" s="111">
        <v>13196</v>
      </c>
      <c r="AQ288" s="111">
        <v>6.7</v>
      </c>
      <c r="AR288" s="111">
        <v>935</v>
      </c>
      <c r="AS288" s="111">
        <v>0.5</v>
      </c>
      <c r="AT288" s="111"/>
      <c r="AU288" s="111"/>
      <c r="AV288" s="108">
        <v>123</v>
      </c>
      <c r="AW288" s="108">
        <v>0.1</v>
      </c>
      <c r="AX288" s="111">
        <v>11481</v>
      </c>
      <c r="AY288" s="111">
        <v>6.2</v>
      </c>
      <c r="AZ288" s="111"/>
      <c r="BA288" s="111"/>
      <c r="BB288" s="111"/>
      <c r="BC288" s="111"/>
      <c r="BD288" s="111">
        <v>989</v>
      </c>
      <c r="BE288" s="111">
        <v>0.5</v>
      </c>
      <c r="BF288" s="111">
        <v>13181</v>
      </c>
      <c r="BG288" s="111">
        <v>7.2</v>
      </c>
      <c r="BH288" s="111">
        <v>22363</v>
      </c>
      <c r="BI288" s="111">
        <v>12.19</v>
      </c>
      <c r="BJ288" s="108">
        <v>2517</v>
      </c>
      <c r="BK288" s="108">
        <v>1.4</v>
      </c>
      <c r="BL288" s="108">
        <v>19846</v>
      </c>
      <c r="BM288" s="108">
        <v>10.8</v>
      </c>
      <c r="BN288" s="102"/>
      <c r="BO288" s="111"/>
      <c r="BP288" s="111"/>
      <c r="BQ288" s="111"/>
      <c r="BR288" s="108" t="s">
        <v>967</v>
      </c>
      <c r="BS288" s="54" t="s">
        <v>29</v>
      </c>
      <c r="BT288" s="45" t="str">
        <f t="shared" si="134"/>
        <v>Yes</v>
      </c>
      <c r="BU288" s="45" t="str">
        <f t="shared" si="135"/>
        <v>No</v>
      </c>
      <c r="BV288" s="45" t="str">
        <f t="shared" si="136"/>
        <v>No</v>
      </c>
      <c r="BW288" s="55">
        <f t="shared" ref="BW288:BX290" si="148">(301723/(301723+ 47076))*100</f>
        <v>86.503401672596539</v>
      </c>
      <c r="BX288" s="55">
        <f t="shared" si="148"/>
        <v>86.503401672596539</v>
      </c>
      <c r="BY288" s="55">
        <v>84.573401672596532</v>
      </c>
      <c r="BZ288" s="55">
        <f t="shared" ref="BZ288:BZ299" si="149">BX288-(0.0386*100/2)</f>
        <v>84.573401672596532</v>
      </c>
      <c r="CA288" s="45">
        <v>2012</v>
      </c>
      <c r="CB288" s="55">
        <f t="shared" si="137"/>
        <v>30.541867827792231</v>
      </c>
      <c r="CC288" s="46" t="s">
        <v>490</v>
      </c>
      <c r="CD288" s="46" t="s">
        <v>71</v>
      </c>
      <c r="CE288" s="71" t="s">
        <v>783</v>
      </c>
      <c r="CF288" s="46">
        <v>1</v>
      </c>
      <c r="CG288" s="46" t="str">
        <f t="shared" si="145"/>
        <v>No</v>
      </c>
      <c r="CH288" s="46" t="s">
        <v>29</v>
      </c>
      <c r="CI288" s="56">
        <v>4800</v>
      </c>
      <c r="CJ288" s="46" t="s">
        <v>180</v>
      </c>
      <c r="CK288" s="79">
        <f>CI288*2</f>
        <v>9600</v>
      </c>
      <c r="CL288" s="49" t="s">
        <v>29</v>
      </c>
      <c r="CM288" s="50">
        <v>0</v>
      </c>
      <c r="CN288" s="50"/>
      <c r="CO288" s="50"/>
      <c r="CP288" s="46" t="s">
        <v>23</v>
      </c>
      <c r="CQ288" s="46" t="s">
        <v>23</v>
      </c>
      <c r="CR288" s="46">
        <v>11</v>
      </c>
      <c r="CS288" s="46" t="s">
        <v>855</v>
      </c>
      <c r="CT288" s="46" t="s">
        <v>963</v>
      </c>
      <c r="CU288" s="46" t="s">
        <v>213</v>
      </c>
      <c r="CV288" s="46" t="s">
        <v>23</v>
      </c>
      <c r="CW288" s="46">
        <v>2</v>
      </c>
      <c r="CX288" s="49" t="s">
        <v>563</v>
      </c>
      <c r="CY288" s="49" t="s">
        <v>261</v>
      </c>
      <c r="CZ288" s="49">
        <v>0</v>
      </c>
      <c r="DA288" s="49">
        <v>0</v>
      </c>
      <c r="DB288" s="64">
        <v>601715</v>
      </c>
      <c r="DC288" s="58">
        <v>48.35</v>
      </c>
      <c r="DD288" s="58">
        <v>6.2399999999999993</v>
      </c>
      <c r="DE288" s="58">
        <v>11.219999999999999</v>
      </c>
      <c r="DF288" s="58">
        <v>30.9</v>
      </c>
      <c r="DG288" s="58">
        <v>3.2900000000000151</v>
      </c>
      <c r="DH288" s="58">
        <v>51.65</v>
      </c>
      <c r="DI288" s="45" t="s">
        <v>35</v>
      </c>
      <c r="DJ288" s="59" t="str">
        <f t="shared" si="147"/>
        <v>No single majority group</v>
      </c>
      <c r="DK288" s="65">
        <v>601715</v>
      </c>
      <c r="DL288" s="58">
        <v>48.35</v>
      </c>
      <c r="DM288" s="58">
        <v>6.2399999999999993</v>
      </c>
      <c r="DN288" s="58">
        <v>11.219999999999999</v>
      </c>
      <c r="DO288" s="58">
        <v>51.65</v>
      </c>
      <c r="DP288" s="66">
        <v>48.4</v>
      </c>
      <c r="DQ288" s="67">
        <v>76830.44</v>
      </c>
      <c r="DR288" s="53">
        <v>13.5</v>
      </c>
      <c r="DS288" s="58">
        <v>78.599999999999994</v>
      </c>
      <c r="DT288" s="53">
        <v>36.6</v>
      </c>
      <c r="DU288" s="55">
        <v>2.31</v>
      </c>
      <c r="DV288" s="102">
        <v>38.5</v>
      </c>
      <c r="DW288" s="53">
        <v>86.3</v>
      </c>
      <c r="DX288" s="53">
        <v>86.04</v>
      </c>
      <c r="DY288" s="53">
        <v>46.0428</v>
      </c>
      <c r="DZ288" s="47" t="s">
        <v>934</v>
      </c>
    </row>
    <row r="289" spans="1:130" s="5" customFormat="1" ht="14.25" customHeight="1">
      <c r="A289" s="45">
        <v>1208</v>
      </c>
      <c r="B289" s="46" t="s">
        <v>210</v>
      </c>
      <c r="C289" s="46">
        <v>2011</v>
      </c>
      <c r="D289" s="46" t="s">
        <v>38</v>
      </c>
      <c r="E289" s="46" t="s">
        <v>22</v>
      </c>
      <c r="F289" s="46">
        <v>4</v>
      </c>
      <c r="G289" s="48">
        <v>270000</v>
      </c>
      <c r="H289" s="46" t="s">
        <v>249</v>
      </c>
      <c r="I289" s="46">
        <v>1</v>
      </c>
      <c r="J289" s="46">
        <v>16</v>
      </c>
      <c r="K289" s="49" t="s">
        <v>243</v>
      </c>
      <c r="L289" s="49" t="s">
        <v>30</v>
      </c>
      <c r="M289" s="49" t="s">
        <v>29</v>
      </c>
      <c r="N289" s="49" t="s">
        <v>512</v>
      </c>
      <c r="O289" s="49"/>
      <c r="P289" s="49" t="s">
        <v>34</v>
      </c>
      <c r="Q289" s="49" t="s">
        <v>35</v>
      </c>
      <c r="R289" s="49">
        <v>4</v>
      </c>
      <c r="S289" s="50">
        <f t="shared" si="140"/>
        <v>25</v>
      </c>
      <c r="T289" s="49">
        <v>8</v>
      </c>
      <c r="U289" s="50">
        <f t="shared" si="141"/>
        <v>50</v>
      </c>
      <c r="V289" s="49" t="s">
        <v>798</v>
      </c>
      <c r="W289" s="49">
        <v>1</v>
      </c>
      <c r="X289" s="50">
        <f t="shared" si="142"/>
        <v>6.25</v>
      </c>
      <c r="Y289" s="51" t="str">
        <f t="shared" si="143"/>
        <v>No</v>
      </c>
      <c r="Z289" s="49" t="s">
        <v>35</v>
      </c>
      <c r="AA289" s="49" t="s">
        <v>23</v>
      </c>
      <c r="AB289" s="49" t="s">
        <v>23</v>
      </c>
      <c r="AC289" s="46" t="s">
        <v>242</v>
      </c>
      <c r="AD289" s="46" t="s">
        <v>27</v>
      </c>
      <c r="AE289" s="46" t="s">
        <v>228</v>
      </c>
      <c r="AF289" s="46" t="s">
        <v>29</v>
      </c>
      <c r="AG289" s="103">
        <v>197242</v>
      </c>
      <c r="AH289" s="52">
        <v>195014</v>
      </c>
      <c r="AI289" s="52">
        <v>195014</v>
      </c>
      <c r="AJ289" s="102">
        <v>30.72</v>
      </c>
      <c r="AK289" s="104">
        <v>61.44</v>
      </c>
      <c r="AL289" s="111">
        <v>59.64</v>
      </c>
      <c r="AM289" s="111">
        <v>59.64</v>
      </c>
      <c r="AN289" s="53">
        <f t="shared" si="144"/>
        <v>119.28</v>
      </c>
      <c r="AO289" s="53">
        <v>19.25</v>
      </c>
      <c r="AP289" s="111">
        <v>2004</v>
      </c>
      <c r="AQ289" s="111">
        <v>1</v>
      </c>
      <c r="AR289" s="111">
        <v>1383</v>
      </c>
      <c r="AS289" s="111">
        <v>0.7</v>
      </c>
      <c r="AT289" s="111"/>
      <c r="AU289" s="111"/>
      <c r="AV289" s="111">
        <v>277</v>
      </c>
      <c r="AW289" s="111">
        <v>0.1</v>
      </c>
      <c r="AX289" s="111">
        <v>10124</v>
      </c>
      <c r="AY289" s="111">
        <v>5.2</v>
      </c>
      <c r="AZ289" s="111"/>
      <c r="BA289" s="111"/>
      <c r="BB289" s="111"/>
      <c r="BC289" s="111"/>
      <c r="BD289" s="111">
        <v>725</v>
      </c>
      <c r="BE289" s="111">
        <v>0.4</v>
      </c>
      <c r="BF289" s="111">
        <v>12051</v>
      </c>
      <c r="BG289" s="111">
        <v>6.2</v>
      </c>
      <c r="BH289" s="111">
        <v>52524</v>
      </c>
      <c r="BI289" s="111">
        <v>27.02</v>
      </c>
      <c r="BJ289" s="111">
        <v>31826</v>
      </c>
      <c r="BK289" s="111">
        <v>16.399999999999999</v>
      </c>
      <c r="BL289" s="111">
        <v>20698</v>
      </c>
      <c r="BM289" s="111">
        <v>10.6</v>
      </c>
      <c r="BN289" s="102"/>
      <c r="BO289" s="111"/>
      <c r="BP289" s="111"/>
      <c r="BQ289" s="111"/>
      <c r="BR289" s="111" t="s">
        <v>967</v>
      </c>
      <c r="BS289" s="54" t="s">
        <v>29</v>
      </c>
      <c r="BT289" s="45" t="str">
        <f t="shared" si="134"/>
        <v>Yes</v>
      </c>
      <c r="BU289" s="45" t="str">
        <f t="shared" si="135"/>
        <v>No</v>
      </c>
      <c r="BV289" s="45" t="str">
        <f t="shared" si="136"/>
        <v>No</v>
      </c>
      <c r="BW289" s="55">
        <f t="shared" si="148"/>
        <v>86.503401672596539</v>
      </c>
      <c r="BX289" s="55">
        <f t="shared" si="148"/>
        <v>86.503401672596539</v>
      </c>
      <c r="BY289" s="55">
        <v>84.573401672596532</v>
      </c>
      <c r="BZ289" s="55">
        <f t="shared" si="149"/>
        <v>84.573401672596532</v>
      </c>
      <c r="CA289" s="45">
        <v>2012</v>
      </c>
      <c r="CB289" s="55">
        <f t="shared" si="137"/>
        <v>32.409695620019448</v>
      </c>
      <c r="CC289" s="46" t="s">
        <v>490</v>
      </c>
      <c r="CD289" s="46" t="s">
        <v>71</v>
      </c>
      <c r="CE289" s="71" t="s">
        <v>783</v>
      </c>
      <c r="CF289" s="46">
        <v>1</v>
      </c>
      <c r="CG289" s="46" t="str">
        <f t="shared" si="145"/>
        <v>No</v>
      </c>
      <c r="CH289" s="46" t="s">
        <v>35</v>
      </c>
      <c r="CI289" s="56">
        <v>5400</v>
      </c>
      <c r="CJ289" s="46" t="s">
        <v>180</v>
      </c>
      <c r="CK289" s="79">
        <f>CI289*2</f>
        <v>10800</v>
      </c>
      <c r="CL289" s="49" t="s">
        <v>35</v>
      </c>
      <c r="CM289" s="50">
        <f>(9/16)*100</f>
        <v>56.25</v>
      </c>
      <c r="CN289" s="50">
        <v>10450042.344000001</v>
      </c>
      <c r="CO289" s="50" t="s">
        <v>35</v>
      </c>
      <c r="CP289" s="46" t="s">
        <v>23</v>
      </c>
      <c r="CQ289" s="46" t="s">
        <v>23</v>
      </c>
      <c r="CR289" s="46">
        <v>11</v>
      </c>
      <c r="CS289" s="46" t="s">
        <v>855</v>
      </c>
      <c r="CT289" s="46" t="s">
        <v>963</v>
      </c>
      <c r="CU289" s="46" t="s">
        <v>213</v>
      </c>
      <c r="CV289" s="46" t="s">
        <v>23</v>
      </c>
      <c r="CW289" s="46">
        <v>2</v>
      </c>
      <c r="CX289" s="49" t="s">
        <v>563</v>
      </c>
      <c r="CY289" s="49" t="s">
        <v>261</v>
      </c>
      <c r="CZ289" s="49">
        <v>0</v>
      </c>
      <c r="DA289" s="49">
        <v>0</v>
      </c>
      <c r="DB289" s="64">
        <v>601715</v>
      </c>
      <c r="DC289" s="58">
        <v>48.35</v>
      </c>
      <c r="DD289" s="58">
        <v>6.2399999999999993</v>
      </c>
      <c r="DE289" s="58">
        <v>11.219999999999999</v>
      </c>
      <c r="DF289" s="58">
        <v>30.9</v>
      </c>
      <c r="DG289" s="58">
        <v>3.2900000000000151</v>
      </c>
      <c r="DH289" s="58">
        <v>51.65</v>
      </c>
      <c r="DI289" s="45" t="s">
        <v>35</v>
      </c>
      <c r="DJ289" s="59" t="str">
        <f t="shared" si="147"/>
        <v>No single majority group</v>
      </c>
      <c r="DK289" s="65">
        <v>601715</v>
      </c>
      <c r="DL289" s="58">
        <v>48.35</v>
      </c>
      <c r="DM289" s="58">
        <v>6.2399999999999993</v>
      </c>
      <c r="DN289" s="58">
        <v>11.219999999999999</v>
      </c>
      <c r="DO289" s="58">
        <v>51.65</v>
      </c>
      <c r="DP289" s="66">
        <v>48.4</v>
      </c>
      <c r="DQ289" s="67">
        <v>76830.44</v>
      </c>
      <c r="DR289" s="53">
        <v>13.5</v>
      </c>
      <c r="DS289" s="58">
        <v>78.599999999999994</v>
      </c>
      <c r="DT289" s="53">
        <v>36.6</v>
      </c>
      <c r="DU289" s="55">
        <v>2.31</v>
      </c>
      <c r="DV289" s="102">
        <v>38.5</v>
      </c>
      <c r="DW289" s="53">
        <v>86.3</v>
      </c>
      <c r="DX289" s="53">
        <v>86.04</v>
      </c>
      <c r="DY289" s="53">
        <v>46.0428</v>
      </c>
      <c r="DZ289" s="63"/>
    </row>
    <row r="290" spans="1:130" s="5" customFormat="1" ht="14.25" customHeight="1">
      <c r="A290" s="45">
        <v>1206</v>
      </c>
      <c r="B290" s="46" t="s">
        <v>210</v>
      </c>
      <c r="C290" s="46">
        <v>2011</v>
      </c>
      <c r="D290" s="46" t="s">
        <v>244</v>
      </c>
      <c r="E290" s="46" t="s">
        <v>22</v>
      </c>
      <c r="F290" s="46">
        <v>4</v>
      </c>
      <c r="G290" s="48">
        <v>190000</v>
      </c>
      <c r="H290" s="46" t="s">
        <v>249</v>
      </c>
      <c r="I290" s="46">
        <v>1</v>
      </c>
      <c r="J290" s="46">
        <v>4</v>
      </c>
      <c r="K290" s="49" t="s">
        <v>245</v>
      </c>
      <c r="L290" s="49" t="s">
        <v>30</v>
      </c>
      <c r="M290" s="49" t="s">
        <v>29</v>
      </c>
      <c r="N290" s="49" t="s">
        <v>512</v>
      </c>
      <c r="O290" s="49"/>
      <c r="P290" s="49" t="s">
        <v>912</v>
      </c>
      <c r="Q290" s="49" t="s">
        <v>35</v>
      </c>
      <c r="R290" s="49">
        <v>0</v>
      </c>
      <c r="S290" s="50">
        <f t="shared" si="140"/>
        <v>0</v>
      </c>
      <c r="T290" s="49">
        <v>3</v>
      </c>
      <c r="U290" s="50">
        <f t="shared" si="141"/>
        <v>75</v>
      </c>
      <c r="V290" s="49" t="s">
        <v>785</v>
      </c>
      <c r="W290" s="49">
        <v>0</v>
      </c>
      <c r="X290" s="50">
        <f t="shared" si="142"/>
        <v>0</v>
      </c>
      <c r="Y290" s="51" t="str">
        <f t="shared" si="143"/>
        <v>No</v>
      </c>
      <c r="Z290" s="49" t="s">
        <v>35</v>
      </c>
      <c r="AA290" s="49" t="s">
        <v>23</v>
      </c>
      <c r="AB290" s="49" t="s">
        <v>23</v>
      </c>
      <c r="AC290" s="46" t="s">
        <v>135</v>
      </c>
      <c r="AD290" s="46" t="s">
        <v>27</v>
      </c>
      <c r="AE290" s="46" t="s">
        <v>228</v>
      </c>
      <c r="AF290" s="46" t="s">
        <v>29</v>
      </c>
      <c r="AG290" s="103">
        <v>197242</v>
      </c>
      <c r="AH290" s="52">
        <v>183173</v>
      </c>
      <c r="AI290" s="52">
        <v>183173</v>
      </c>
      <c r="AJ290" s="102">
        <v>38.4</v>
      </c>
      <c r="AK290" s="104">
        <v>76.8</v>
      </c>
      <c r="AL290" s="111">
        <v>53.54</v>
      </c>
      <c r="AM290" s="111">
        <v>53.54</v>
      </c>
      <c r="AN290" s="53">
        <f t="shared" si="144"/>
        <v>107.08</v>
      </c>
      <c r="AO290" s="53">
        <v>28.12</v>
      </c>
      <c r="AP290" s="111">
        <v>13631</v>
      </c>
      <c r="AQ290" s="111">
        <v>6.9</v>
      </c>
      <c r="AR290" s="111">
        <v>657</v>
      </c>
      <c r="AS290" s="111">
        <v>0.4</v>
      </c>
      <c r="AT290" s="111"/>
      <c r="AU290" s="111"/>
      <c r="AV290" s="108">
        <v>93</v>
      </c>
      <c r="AW290" s="108">
        <v>0.1</v>
      </c>
      <c r="AX290" s="111">
        <v>12970</v>
      </c>
      <c r="AY290" s="111">
        <v>7.1</v>
      </c>
      <c r="AZ290" s="111"/>
      <c r="BA290" s="111"/>
      <c r="BB290" s="111"/>
      <c r="BC290" s="111"/>
      <c r="BD290" s="111">
        <v>1174</v>
      </c>
      <c r="BE290" s="111">
        <v>0.6</v>
      </c>
      <c r="BF290" s="111">
        <v>14590</v>
      </c>
      <c r="BG290" s="111">
        <v>7.9</v>
      </c>
      <c r="BH290" s="111">
        <v>21411</v>
      </c>
      <c r="BI290" s="111">
        <v>11.69</v>
      </c>
      <c r="BJ290" s="108">
        <v>0</v>
      </c>
      <c r="BK290" s="108">
        <v>0</v>
      </c>
      <c r="BL290" s="108">
        <v>21411</v>
      </c>
      <c r="BM290" s="108">
        <v>11.7</v>
      </c>
      <c r="BN290" s="102"/>
      <c r="BO290" s="111"/>
      <c r="BP290" s="111"/>
      <c r="BQ290" s="111"/>
      <c r="BR290" s="108" t="s">
        <v>967</v>
      </c>
      <c r="BS290" s="54" t="s">
        <v>29</v>
      </c>
      <c r="BT290" s="45" t="str">
        <f t="shared" si="134"/>
        <v>Yes</v>
      </c>
      <c r="BU290" s="45" t="str">
        <f t="shared" si="135"/>
        <v>Yes</v>
      </c>
      <c r="BV290" s="45" t="str">
        <f t="shared" si="136"/>
        <v>No</v>
      </c>
      <c r="BW290" s="55">
        <f t="shared" si="148"/>
        <v>86.503401672596539</v>
      </c>
      <c r="BX290" s="55">
        <f t="shared" si="148"/>
        <v>86.503401672596539</v>
      </c>
      <c r="BY290" s="55">
        <v>84.573401672596532</v>
      </c>
      <c r="BZ290" s="55">
        <f t="shared" si="149"/>
        <v>84.573401672596532</v>
      </c>
      <c r="CA290" s="45">
        <v>2012</v>
      </c>
      <c r="CB290" s="55">
        <f t="shared" si="137"/>
        <v>30.441820463176089</v>
      </c>
      <c r="CC290" s="46" t="s">
        <v>490</v>
      </c>
      <c r="CD290" s="46" t="s">
        <v>71</v>
      </c>
      <c r="CE290" s="71" t="s">
        <v>783</v>
      </c>
      <c r="CF290" s="46">
        <v>1</v>
      </c>
      <c r="CG290" s="46" t="str">
        <f t="shared" si="145"/>
        <v>No</v>
      </c>
      <c r="CH290" s="46" t="s">
        <v>29</v>
      </c>
      <c r="CI290" s="56">
        <v>3800</v>
      </c>
      <c r="CJ290" s="46" t="s">
        <v>180</v>
      </c>
      <c r="CK290" s="79">
        <f>CI290*2</f>
        <v>7600</v>
      </c>
      <c r="CL290" s="49" t="s">
        <v>29</v>
      </c>
      <c r="CM290" s="50">
        <v>0</v>
      </c>
      <c r="CN290" s="50"/>
      <c r="CO290" s="50"/>
      <c r="CP290" s="46" t="s">
        <v>23</v>
      </c>
      <c r="CQ290" s="46" t="s">
        <v>23</v>
      </c>
      <c r="CR290" s="46">
        <v>11</v>
      </c>
      <c r="CS290" s="46" t="s">
        <v>855</v>
      </c>
      <c r="CT290" s="46" t="s">
        <v>963</v>
      </c>
      <c r="CU290" s="46" t="s">
        <v>213</v>
      </c>
      <c r="CV290" s="46" t="s">
        <v>23</v>
      </c>
      <c r="CW290" s="46">
        <v>2</v>
      </c>
      <c r="CX290" s="49" t="s">
        <v>563</v>
      </c>
      <c r="CY290" s="49" t="s">
        <v>261</v>
      </c>
      <c r="CZ290" s="49">
        <v>0</v>
      </c>
      <c r="DA290" s="49">
        <v>0</v>
      </c>
      <c r="DB290" s="64">
        <v>601715</v>
      </c>
      <c r="DC290" s="58">
        <v>48.35</v>
      </c>
      <c r="DD290" s="58">
        <v>6.2399999999999993</v>
      </c>
      <c r="DE290" s="58">
        <v>11.219999999999999</v>
      </c>
      <c r="DF290" s="58">
        <v>30.9</v>
      </c>
      <c r="DG290" s="58">
        <v>3.2900000000000151</v>
      </c>
      <c r="DH290" s="58">
        <v>51.65</v>
      </c>
      <c r="DI290" s="45" t="s">
        <v>35</v>
      </c>
      <c r="DJ290" s="59" t="str">
        <f t="shared" si="147"/>
        <v>No single majority group</v>
      </c>
      <c r="DK290" s="65">
        <v>601715</v>
      </c>
      <c r="DL290" s="58">
        <v>48.35</v>
      </c>
      <c r="DM290" s="58">
        <v>6.2399999999999993</v>
      </c>
      <c r="DN290" s="58">
        <v>11.219999999999999</v>
      </c>
      <c r="DO290" s="58">
        <v>51.65</v>
      </c>
      <c r="DP290" s="66">
        <v>48.4</v>
      </c>
      <c r="DQ290" s="67">
        <v>76830.44</v>
      </c>
      <c r="DR290" s="53">
        <v>13.5</v>
      </c>
      <c r="DS290" s="58">
        <v>78.599999999999994</v>
      </c>
      <c r="DT290" s="53">
        <v>36.6</v>
      </c>
      <c r="DU290" s="55">
        <v>2.31</v>
      </c>
      <c r="DV290" s="102">
        <v>38.5</v>
      </c>
      <c r="DW290" s="53">
        <v>86.3</v>
      </c>
      <c r="DX290" s="53">
        <v>86.04</v>
      </c>
      <c r="DY290" s="53">
        <v>46.0428</v>
      </c>
      <c r="DZ290" s="63"/>
    </row>
    <row r="291" spans="1:130" s="5" customFormat="1" ht="14.25" customHeight="1">
      <c r="A291" s="45">
        <v>1200</v>
      </c>
      <c r="B291" s="46" t="s">
        <v>210</v>
      </c>
      <c r="C291" s="46">
        <v>2012</v>
      </c>
      <c r="D291" s="46" t="s">
        <v>219</v>
      </c>
      <c r="E291" s="46" t="s">
        <v>77</v>
      </c>
      <c r="F291" s="46">
        <v>4</v>
      </c>
      <c r="G291" s="48">
        <v>108000</v>
      </c>
      <c r="H291" s="46" t="s">
        <v>249</v>
      </c>
      <c r="I291" s="46">
        <v>1</v>
      </c>
      <c r="J291" s="46">
        <v>3</v>
      </c>
      <c r="K291" s="49" t="s">
        <v>232</v>
      </c>
      <c r="L291" s="49" t="s">
        <v>30</v>
      </c>
      <c r="M291" s="49" t="s">
        <v>29</v>
      </c>
      <c r="N291" s="49" t="s">
        <v>513</v>
      </c>
      <c r="O291" s="49"/>
      <c r="P291" s="49" t="s">
        <v>34</v>
      </c>
      <c r="Q291" s="49" t="s">
        <v>35</v>
      </c>
      <c r="R291" s="49">
        <v>0</v>
      </c>
      <c r="S291" s="50">
        <f t="shared" si="140"/>
        <v>0</v>
      </c>
      <c r="T291" s="49" t="str">
        <f>LEFT(V291,2)</f>
        <v xml:space="preserve">3 </v>
      </c>
      <c r="U291" s="50">
        <f t="shared" si="141"/>
        <v>100</v>
      </c>
      <c r="V291" s="49" t="s">
        <v>779</v>
      </c>
      <c r="W291" s="49">
        <v>0</v>
      </c>
      <c r="X291" s="50">
        <f t="shared" si="142"/>
        <v>0</v>
      </c>
      <c r="Y291" s="51" t="str">
        <f t="shared" si="143"/>
        <v>No</v>
      </c>
      <c r="Z291" s="49" t="s">
        <v>29</v>
      </c>
      <c r="AA291" s="49" t="s">
        <v>35</v>
      </c>
      <c r="AB291" s="49" t="s">
        <v>29</v>
      </c>
      <c r="AC291" s="46" t="s">
        <v>72</v>
      </c>
      <c r="AD291" s="46" t="s">
        <v>27</v>
      </c>
      <c r="AE291" s="46" t="s">
        <v>89</v>
      </c>
      <c r="AF291" s="46" t="s">
        <v>29</v>
      </c>
      <c r="AG291" s="103">
        <v>30727</v>
      </c>
      <c r="AH291" s="52">
        <v>28533</v>
      </c>
      <c r="AI291" s="52">
        <v>28533</v>
      </c>
      <c r="AJ291" s="102">
        <v>53.5</v>
      </c>
      <c r="AK291" s="104">
        <v>107</v>
      </c>
      <c r="AL291" s="111">
        <v>53.5</v>
      </c>
      <c r="AM291" s="111"/>
      <c r="AN291" s="53">
        <f t="shared" si="144"/>
        <v>107</v>
      </c>
      <c r="AO291" s="53">
        <v>38.619999999999997</v>
      </c>
      <c r="AP291" s="111">
        <v>2148</v>
      </c>
      <c r="AQ291" s="108">
        <v>6.9905945910762517</v>
      </c>
      <c r="AR291" s="111">
        <v>46</v>
      </c>
      <c r="AS291" s="111">
        <f>AR291/AI291 *100</f>
        <v>0.16121683664528791</v>
      </c>
      <c r="AT291" s="111">
        <v>46</v>
      </c>
      <c r="AU291" s="111">
        <v>0.2</v>
      </c>
      <c r="AV291" s="108"/>
      <c r="AW291" s="108"/>
      <c r="AX291" s="111"/>
      <c r="AY291" s="111"/>
      <c r="AZ291" s="111"/>
      <c r="BA291" s="111"/>
      <c r="BB291" s="111"/>
      <c r="BC291" s="111"/>
      <c r="BD291" s="111"/>
      <c r="BE291" s="111"/>
      <c r="BF291" s="111"/>
      <c r="BG291" s="111"/>
      <c r="BH291" s="111"/>
      <c r="BI291" s="111"/>
      <c r="BJ291" s="108"/>
      <c r="BK291" s="108"/>
      <c r="BL291" s="108"/>
      <c r="BM291" s="108"/>
      <c r="BN291" s="102"/>
      <c r="BO291" s="111"/>
      <c r="BP291" s="111"/>
      <c r="BQ291" s="111"/>
      <c r="BR291" s="108"/>
      <c r="BS291" s="54" t="s">
        <v>29</v>
      </c>
      <c r="BT291" s="45" t="str">
        <f t="shared" si="134"/>
        <v>Yes</v>
      </c>
      <c r="BU291" s="45" t="str">
        <f t="shared" si="135"/>
        <v>Yes</v>
      </c>
      <c r="BV291" s="45" t="str">
        <f t="shared" si="136"/>
        <v>No</v>
      </c>
      <c r="BW291" s="55">
        <f t="shared" ref="BW291:BW299" si="150">(301723/(301723+ 47076))*100</f>
        <v>86.503401672596539</v>
      </c>
      <c r="BX291" s="55">
        <v>83.657922628510889</v>
      </c>
      <c r="BY291" s="55">
        <v>84.573401672596532</v>
      </c>
      <c r="BZ291" s="55">
        <f t="shared" si="149"/>
        <v>81.727922628510882</v>
      </c>
      <c r="CA291" s="45">
        <v>2012</v>
      </c>
      <c r="CB291" s="55">
        <f t="shared" si="137"/>
        <v>49.692610459952277</v>
      </c>
      <c r="CC291" s="46" t="s">
        <v>490</v>
      </c>
      <c r="CD291" s="46" t="s">
        <v>71</v>
      </c>
      <c r="CE291" s="71" t="s">
        <v>783</v>
      </c>
      <c r="CF291" s="46">
        <v>1</v>
      </c>
      <c r="CG291" s="46" t="str">
        <f t="shared" si="145"/>
        <v>No</v>
      </c>
      <c r="CH291" s="46" t="s">
        <v>35</v>
      </c>
      <c r="CI291" s="56">
        <v>500</v>
      </c>
      <c r="CJ291" s="46" t="s">
        <v>180</v>
      </c>
      <c r="CK291" s="79">
        <v>1000</v>
      </c>
      <c r="CL291" s="49" t="s">
        <v>35</v>
      </c>
      <c r="CM291" s="50">
        <f>(2/3)*100</f>
        <v>66.666666666666657</v>
      </c>
      <c r="CN291" s="50"/>
      <c r="CO291" s="50"/>
      <c r="CP291" s="46" t="s">
        <v>23</v>
      </c>
      <c r="CQ291" s="46" t="s">
        <v>24</v>
      </c>
      <c r="CR291" s="46">
        <v>11</v>
      </c>
      <c r="CS291" s="46" t="s">
        <v>855</v>
      </c>
      <c r="CT291" s="46" t="s">
        <v>856</v>
      </c>
      <c r="CU291" s="46" t="s">
        <v>213</v>
      </c>
      <c r="CV291" s="46" t="s">
        <v>23</v>
      </c>
      <c r="CW291" s="46">
        <v>3</v>
      </c>
      <c r="CX291" s="49" t="s">
        <v>563</v>
      </c>
      <c r="CY291" s="49" t="s">
        <v>261</v>
      </c>
      <c r="CZ291" s="49">
        <v>0</v>
      </c>
      <c r="DA291" s="49">
        <v>0</v>
      </c>
      <c r="DB291" s="57">
        <v>57419</v>
      </c>
      <c r="DC291" s="58">
        <v>48.63</v>
      </c>
      <c r="DD291" s="58">
        <v>2.1800000000000002</v>
      </c>
      <c r="DE291" s="58">
        <v>6.41</v>
      </c>
      <c r="DF291" s="58">
        <v>38.840000000000003</v>
      </c>
      <c r="DG291" s="58">
        <v>4</v>
      </c>
      <c r="DH291" s="58">
        <v>51.370000000000005</v>
      </c>
      <c r="DI291" s="45" t="s">
        <v>35</v>
      </c>
      <c r="DJ291" s="59" t="str">
        <f t="shared" si="147"/>
        <v>No single majority group</v>
      </c>
      <c r="DK291" s="60">
        <v>57419</v>
      </c>
      <c r="DL291" s="58">
        <v>48.63</v>
      </c>
      <c r="DM291" s="58">
        <v>2.1800000000000002</v>
      </c>
      <c r="DN291" s="58">
        <v>6.41</v>
      </c>
      <c r="DO291" s="58">
        <v>51.370000000000005</v>
      </c>
      <c r="DP291" s="66">
        <v>48.3</v>
      </c>
      <c r="DQ291" s="67">
        <v>78387</v>
      </c>
      <c r="DR291" s="53">
        <v>13.3</v>
      </c>
      <c r="DS291" s="58">
        <v>78.7</v>
      </c>
      <c r="DT291" s="53">
        <v>36.6</v>
      </c>
      <c r="DU291" s="55">
        <v>2.3199999999999998</v>
      </c>
      <c r="DV291" s="102">
        <v>38.6</v>
      </c>
      <c r="DW291" s="53">
        <v>86.7</v>
      </c>
      <c r="DX291" s="53">
        <v>84.24</v>
      </c>
      <c r="DY291" s="53">
        <v>45.346499999999999</v>
      </c>
      <c r="DZ291" s="63"/>
    </row>
    <row r="292" spans="1:130" s="5" customFormat="1" ht="14.25" customHeight="1">
      <c r="A292" s="45">
        <v>1201</v>
      </c>
      <c r="B292" s="46" t="s">
        <v>210</v>
      </c>
      <c r="C292" s="46">
        <v>2012</v>
      </c>
      <c r="D292" s="46" t="s">
        <v>219</v>
      </c>
      <c r="E292" s="46" t="s">
        <v>95</v>
      </c>
      <c r="F292" s="46">
        <v>4</v>
      </c>
      <c r="G292" s="48">
        <v>108000</v>
      </c>
      <c r="H292" s="46" t="s">
        <v>249</v>
      </c>
      <c r="I292" s="46">
        <v>1</v>
      </c>
      <c r="J292" s="46">
        <v>4</v>
      </c>
      <c r="K292" s="49" t="s">
        <v>233</v>
      </c>
      <c r="L292" s="49" t="s">
        <v>30</v>
      </c>
      <c r="M292" s="49" t="s">
        <v>29</v>
      </c>
      <c r="N292" s="49" t="s">
        <v>513</v>
      </c>
      <c r="O292" s="49"/>
      <c r="P292" s="49" t="s">
        <v>34</v>
      </c>
      <c r="Q292" s="49" t="s">
        <v>35</v>
      </c>
      <c r="R292" s="49">
        <v>0</v>
      </c>
      <c r="S292" s="50">
        <f t="shared" si="140"/>
        <v>0</v>
      </c>
      <c r="T292" s="49" t="str">
        <f>LEFT(V292,2)</f>
        <v xml:space="preserve">2 </v>
      </c>
      <c r="U292" s="50">
        <f t="shared" si="141"/>
        <v>50</v>
      </c>
      <c r="V292" s="49" t="s">
        <v>172</v>
      </c>
      <c r="W292" s="49">
        <v>0</v>
      </c>
      <c r="X292" s="50">
        <f t="shared" si="142"/>
        <v>0</v>
      </c>
      <c r="Y292" s="51" t="str">
        <f t="shared" si="143"/>
        <v>No</v>
      </c>
      <c r="Z292" s="49" t="s">
        <v>29</v>
      </c>
      <c r="AA292" s="49" t="s">
        <v>35</v>
      </c>
      <c r="AB292" s="49" t="s">
        <v>29</v>
      </c>
      <c r="AC292" s="46" t="s">
        <v>72</v>
      </c>
      <c r="AD292" s="46" t="s">
        <v>27</v>
      </c>
      <c r="AE292" s="46" t="s">
        <v>89</v>
      </c>
      <c r="AF292" s="46" t="s">
        <v>29</v>
      </c>
      <c r="AG292" s="103">
        <v>26396</v>
      </c>
      <c r="AH292" s="52">
        <v>23470</v>
      </c>
      <c r="AI292" s="52">
        <v>23470</v>
      </c>
      <c r="AJ292" s="102">
        <v>75.42</v>
      </c>
      <c r="AK292" s="104">
        <v>150.84</v>
      </c>
      <c r="AL292" s="108">
        <v>75.42</v>
      </c>
      <c r="AM292" s="108"/>
      <c r="AN292" s="53">
        <f t="shared" si="144"/>
        <v>150.84</v>
      </c>
      <c r="AO292" s="53">
        <v>11.44</v>
      </c>
      <c r="AP292" s="108">
        <v>2862</v>
      </c>
      <c r="AQ292" s="108">
        <v>10.842551901803303</v>
      </c>
      <c r="AR292" s="108">
        <v>64</v>
      </c>
      <c r="AS292" s="108">
        <f>AR292/AI292 *100</f>
        <v>0.27268853855986364</v>
      </c>
      <c r="AT292" s="108">
        <v>64</v>
      </c>
      <c r="AU292" s="108">
        <v>0.3</v>
      </c>
      <c r="AV292" s="108"/>
      <c r="AW292" s="108"/>
      <c r="AX292" s="108"/>
      <c r="AY292" s="108"/>
      <c r="AZ292" s="108"/>
      <c r="BA292" s="108"/>
      <c r="BB292" s="108"/>
      <c r="BC292" s="108"/>
      <c r="BD292" s="108"/>
      <c r="BE292" s="108"/>
      <c r="BF292" s="108"/>
      <c r="BG292" s="108"/>
      <c r="BH292" s="108"/>
      <c r="BI292" s="108"/>
      <c r="BJ292" s="108"/>
      <c r="BK292" s="108"/>
      <c r="BL292" s="108"/>
      <c r="BM292" s="108"/>
      <c r="BN292" s="102"/>
      <c r="BO292" s="108"/>
      <c r="BP292" s="108"/>
      <c r="BQ292" s="108"/>
      <c r="BR292" s="108"/>
      <c r="BS292" s="54" t="s">
        <v>29</v>
      </c>
      <c r="BT292" s="45" t="str">
        <f t="shared" si="134"/>
        <v>No</v>
      </c>
      <c r="BU292" s="45" t="str">
        <f t="shared" si="135"/>
        <v>No</v>
      </c>
      <c r="BV292" s="45" t="str">
        <f t="shared" si="136"/>
        <v>No</v>
      </c>
      <c r="BW292" s="55">
        <f t="shared" si="150"/>
        <v>86.503401672596539</v>
      </c>
      <c r="BX292" s="55">
        <v>84.204338592233</v>
      </c>
      <c r="BY292" s="55">
        <v>84.573401672596532</v>
      </c>
      <c r="BZ292" s="55">
        <f t="shared" si="149"/>
        <v>82.274338592232994</v>
      </c>
      <c r="CA292" s="45">
        <v>2012</v>
      </c>
      <c r="CB292" s="55">
        <f t="shared" si="137"/>
        <v>41.007093685571512</v>
      </c>
      <c r="CC292" s="46" t="s">
        <v>490</v>
      </c>
      <c r="CD292" s="46" t="s">
        <v>71</v>
      </c>
      <c r="CE292" s="71" t="s">
        <v>783</v>
      </c>
      <c r="CF292" s="46">
        <v>1</v>
      </c>
      <c r="CG292" s="46" t="str">
        <f t="shared" si="145"/>
        <v>No</v>
      </c>
      <c r="CH292" s="46" t="s">
        <v>35</v>
      </c>
      <c r="CI292" s="56">
        <v>500</v>
      </c>
      <c r="CJ292" s="46" t="s">
        <v>180</v>
      </c>
      <c r="CK292" s="79">
        <v>1000</v>
      </c>
      <c r="CL292" s="49" t="s">
        <v>35</v>
      </c>
      <c r="CM292" s="50">
        <f>(1/4)*100</f>
        <v>25</v>
      </c>
      <c r="CN292" s="50"/>
      <c r="CO292" s="50"/>
      <c r="CP292" s="46" t="s">
        <v>23</v>
      </c>
      <c r="CQ292" s="46" t="s">
        <v>24</v>
      </c>
      <c r="CR292" s="46">
        <v>11</v>
      </c>
      <c r="CS292" s="46" t="s">
        <v>855</v>
      </c>
      <c r="CT292" s="46" t="s">
        <v>856</v>
      </c>
      <c r="CU292" s="46" t="s">
        <v>213</v>
      </c>
      <c r="CV292" s="46" t="s">
        <v>23</v>
      </c>
      <c r="CW292" s="46">
        <v>3</v>
      </c>
      <c r="CX292" s="49" t="s">
        <v>563</v>
      </c>
      <c r="CY292" s="49" t="s">
        <v>261</v>
      </c>
      <c r="CZ292" s="49">
        <v>0</v>
      </c>
      <c r="DA292" s="49">
        <v>0</v>
      </c>
      <c r="DB292" s="57">
        <v>57234</v>
      </c>
      <c r="DC292" s="58">
        <v>48.32</v>
      </c>
      <c r="DD292" s="58">
        <v>3.2300000000000004</v>
      </c>
      <c r="DE292" s="58">
        <v>7.55</v>
      </c>
      <c r="DF292" s="58">
        <v>38.26</v>
      </c>
      <c r="DG292" s="58">
        <v>2.7</v>
      </c>
      <c r="DH292" s="58">
        <v>51.679999999999993</v>
      </c>
      <c r="DI292" s="45" t="s">
        <v>35</v>
      </c>
      <c r="DJ292" s="59" t="str">
        <f t="shared" si="147"/>
        <v>No single majority group</v>
      </c>
      <c r="DK292" s="60">
        <v>57234</v>
      </c>
      <c r="DL292" s="58">
        <v>48.32</v>
      </c>
      <c r="DM292" s="58">
        <v>3.2300000000000004</v>
      </c>
      <c r="DN292" s="58">
        <v>7.55</v>
      </c>
      <c r="DO292" s="58">
        <v>51.679999999999993</v>
      </c>
      <c r="DP292" s="66">
        <v>48.3</v>
      </c>
      <c r="DQ292" s="67">
        <v>78387</v>
      </c>
      <c r="DR292" s="53">
        <v>13.3</v>
      </c>
      <c r="DS292" s="58">
        <v>78.7</v>
      </c>
      <c r="DT292" s="53">
        <v>36.6</v>
      </c>
      <c r="DU292" s="55">
        <v>2.3199999999999998</v>
      </c>
      <c r="DV292" s="50">
        <v>38.6</v>
      </c>
      <c r="DW292" s="53">
        <v>86.7</v>
      </c>
      <c r="DX292" s="53">
        <v>84.24</v>
      </c>
      <c r="DY292" s="53">
        <v>45.346499999999999</v>
      </c>
      <c r="DZ292" s="63"/>
    </row>
    <row r="293" spans="1:130" s="5" customFormat="1" ht="14.25" customHeight="1">
      <c r="A293" s="45">
        <v>1202</v>
      </c>
      <c r="B293" s="46" t="s">
        <v>210</v>
      </c>
      <c r="C293" s="46">
        <v>2012</v>
      </c>
      <c r="D293" s="46" t="s">
        <v>219</v>
      </c>
      <c r="E293" s="46" t="s">
        <v>98</v>
      </c>
      <c r="F293" s="46">
        <v>4</v>
      </c>
      <c r="G293" s="48">
        <v>108000</v>
      </c>
      <c r="H293" s="46" t="s">
        <v>249</v>
      </c>
      <c r="I293" s="46">
        <v>1</v>
      </c>
      <c r="J293" s="46">
        <v>8</v>
      </c>
      <c r="K293" s="49" t="s">
        <v>234</v>
      </c>
      <c r="L293" s="49" t="s">
        <v>40</v>
      </c>
      <c r="M293" s="49" t="s">
        <v>35</v>
      </c>
      <c r="N293" s="49" t="s">
        <v>618</v>
      </c>
      <c r="O293" s="49"/>
      <c r="P293" s="49" t="s">
        <v>201</v>
      </c>
      <c r="Q293" s="49" t="s">
        <v>35</v>
      </c>
      <c r="R293" s="49">
        <v>4</v>
      </c>
      <c r="S293" s="50">
        <f t="shared" si="140"/>
        <v>50</v>
      </c>
      <c r="T293" s="49">
        <v>3</v>
      </c>
      <c r="U293" s="50">
        <f t="shared" si="141"/>
        <v>37.5</v>
      </c>
      <c r="V293" s="49" t="s">
        <v>862</v>
      </c>
      <c r="W293" s="49">
        <v>2</v>
      </c>
      <c r="X293" s="50">
        <f t="shared" si="142"/>
        <v>25</v>
      </c>
      <c r="Y293" s="51" t="str">
        <f t="shared" si="143"/>
        <v>Yes</v>
      </c>
      <c r="Z293" s="49" t="s">
        <v>29</v>
      </c>
      <c r="AA293" s="49" t="s">
        <v>35</v>
      </c>
      <c r="AB293" s="45" t="s">
        <v>35</v>
      </c>
      <c r="AC293" s="46" t="s">
        <v>114</v>
      </c>
      <c r="AD293" s="46" t="s">
        <v>27</v>
      </c>
      <c r="AE293" s="46" t="s">
        <v>89</v>
      </c>
      <c r="AF293" s="46" t="s">
        <v>29</v>
      </c>
      <c r="AG293" s="103">
        <v>40253</v>
      </c>
      <c r="AH293" s="52">
        <v>35137</v>
      </c>
      <c r="AI293" s="52">
        <v>35137</v>
      </c>
      <c r="AJ293" s="102">
        <v>27.87</v>
      </c>
      <c r="AK293" s="104">
        <v>55.74</v>
      </c>
      <c r="AL293" s="108">
        <v>56.16</v>
      </c>
      <c r="AM293" s="108">
        <v>56.16</v>
      </c>
      <c r="AN293" s="53">
        <f t="shared" si="144"/>
        <v>112.32</v>
      </c>
      <c r="AO293" s="53">
        <v>19.75</v>
      </c>
      <c r="AP293" s="108">
        <v>4897</v>
      </c>
      <c r="AQ293" s="108">
        <v>12.2</v>
      </c>
      <c r="AR293" s="108">
        <v>304</v>
      </c>
      <c r="AS293" s="108">
        <v>0.9</v>
      </c>
      <c r="AT293" s="108">
        <v>209</v>
      </c>
      <c r="AU293" s="108">
        <v>0.6</v>
      </c>
      <c r="AV293" s="111">
        <v>33</v>
      </c>
      <c r="AW293" s="111">
        <v>0.1</v>
      </c>
      <c r="AX293" s="108">
        <v>1981</v>
      </c>
      <c r="AY293" s="108">
        <v>5.6</v>
      </c>
      <c r="AZ293" s="108"/>
      <c r="BA293" s="108"/>
      <c r="BB293" s="108"/>
      <c r="BC293" s="108"/>
      <c r="BD293" s="108">
        <v>210</v>
      </c>
      <c r="BE293" s="108">
        <v>0.6</v>
      </c>
      <c r="BF293" s="108">
        <v>2447</v>
      </c>
      <c r="BG293" s="108">
        <v>6.9</v>
      </c>
      <c r="BH293" s="108">
        <v>8501</v>
      </c>
      <c r="BI293" s="108">
        <v>24.19</v>
      </c>
      <c r="BJ293" s="111">
        <v>4224</v>
      </c>
      <c r="BK293" s="111">
        <v>12</v>
      </c>
      <c r="BL293" s="111">
        <v>4277</v>
      </c>
      <c r="BM293" s="111">
        <v>12.2</v>
      </c>
      <c r="BN293" s="102"/>
      <c r="BO293" s="108"/>
      <c r="BP293" s="108"/>
      <c r="BQ293" s="108"/>
      <c r="BR293" s="111" t="s">
        <v>967</v>
      </c>
      <c r="BS293" s="54" t="s">
        <v>29</v>
      </c>
      <c r="BT293" s="45" t="str">
        <f t="shared" ref="BT293:BT299" si="151">IF(J293=I293, "No", IF(AJ293/AO293&lt;2, "Yes", "No"))</f>
        <v>Yes</v>
      </c>
      <c r="BU293" s="45" t="str">
        <f t="shared" ref="BU293:BU299" si="152">IF(J293=I293, "No", IF(AJ293/AO293&lt;1.5, "Yes", "No"))</f>
        <v>Yes</v>
      </c>
      <c r="BV293" s="45" t="str">
        <f t="shared" ref="BV293:BV299" si="153">IF(J293=I293, "No", IF((ABS(AJ293-AO293))&lt;(5/I293), "Yes", "No"))</f>
        <v>No</v>
      </c>
      <c r="BW293" s="55">
        <f t="shared" si="150"/>
        <v>86.503401672596539</v>
      </c>
      <c r="BX293" s="55">
        <v>92.9876444199394</v>
      </c>
      <c r="BY293" s="55">
        <v>84.573401672596532</v>
      </c>
      <c r="BZ293" s="55">
        <f t="shared" si="149"/>
        <v>91.057644419939393</v>
      </c>
      <c r="CA293" s="45">
        <v>2012</v>
      </c>
      <c r="CB293" s="55">
        <f t="shared" ref="CB293:CB299" si="154">((AI293/I293)/DB293)*100</f>
        <v>59.005189004013502</v>
      </c>
      <c r="CC293" s="46" t="s">
        <v>490</v>
      </c>
      <c r="CD293" s="46" t="s">
        <v>71</v>
      </c>
      <c r="CE293" s="71" t="s">
        <v>783</v>
      </c>
      <c r="CF293" s="46">
        <v>1</v>
      </c>
      <c r="CG293" s="46" t="str">
        <f t="shared" si="145"/>
        <v>No</v>
      </c>
      <c r="CH293" s="46" t="s">
        <v>35</v>
      </c>
      <c r="CI293" s="56">
        <v>500</v>
      </c>
      <c r="CJ293" s="46" t="s">
        <v>180</v>
      </c>
      <c r="CK293" s="79">
        <v>1000</v>
      </c>
      <c r="CL293" s="49" t="s">
        <v>35</v>
      </c>
      <c r="CM293" s="50">
        <f>(5/8)*100</f>
        <v>62.5</v>
      </c>
      <c r="CN293" s="50"/>
      <c r="CO293" s="50"/>
      <c r="CP293" s="46" t="s">
        <v>23</v>
      </c>
      <c r="CQ293" s="46" t="s">
        <v>24</v>
      </c>
      <c r="CR293" s="46">
        <v>11</v>
      </c>
      <c r="CS293" s="46" t="s">
        <v>855</v>
      </c>
      <c r="CT293" s="46" t="s">
        <v>856</v>
      </c>
      <c r="CU293" s="46" t="s">
        <v>213</v>
      </c>
      <c r="CV293" s="46" t="s">
        <v>23</v>
      </c>
      <c r="CW293" s="46">
        <v>3</v>
      </c>
      <c r="CX293" s="49" t="s">
        <v>563</v>
      </c>
      <c r="CY293" s="49" t="s">
        <v>261</v>
      </c>
      <c r="CZ293" s="49">
        <v>0</v>
      </c>
      <c r="DA293" s="49">
        <v>0</v>
      </c>
      <c r="DB293" s="57">
        <v>59549</v>
      </c>
      <c r="DC293" s="58">
        <v>60.809999999999995</v>
      </c>
      <c r="DD293" s="58">
        <v>10.59</v>
      </c>
      <c r="DE293" s="58">
        <v>7.9699999999999989</v>
      </c>
      <c r="DF293" s="58">
        <v>16.650000000000002</v>
      </c>
      <c r="DG293" s="58">
        <v>4</v>
      </c>
      <c r="DH293" s="58">
        <v>39.190000000000005</v>
      </c>
      <c r="DI293" s="45" t="s">
        <v>29</v>
      </c>
      <c r="DJ293" s="59" t="str">
        <f t="shared" si="147"/>
        <v>N/A</v>
      </c>
      <c r="DK293" s="60">
        <v>59549</v>
      </c>
      <c r="DL293" s="58">
        <v>60.809999999999995</v>
      </c>
      <c r="DM293" s="58">
        <v>10.59</v>
      </c>
      <c r="DN293" s="58">
        <v>7.9699999999999989</v>
      </c>
      <c r="DO293" s="58">
        <v>39.190000000000005</v>
      </c>
      <c r="DP293" s="66">
        <v>48.3</v>
      </c>
      <c r="DQ293" s="67">
        <v>78387</v>
      </c>
      <c r="DR293" s="53">
        <v>13.3</v>
      </c>
      <c r="DS293" s="58">
        <v>78.7</v>
      </c>
      <c r="DT293" s="53">
        <v>36.6</v>
      </c>
      <c r="DU293" s="55">
        <v>2.3199999999999998</v>
      </c>
      <c r="DV293" s="50">
        <v>38.6</v>
      </c>
      <c r="DW293" s="53">
        <v>86.7</v>
      </c>
      <c r="DX293" s="53">
        <v>84.24</v>
      </c>
      <c r="DY293" s="53">
        <v>45.346499999999999</v>
      </c>
      <c r="DZ293" s="80" t="s">
        <v>933</v>
      </c>
    </row>
    <row r="294" spans="1:130" s="5" customFormat="1" ht="14.25" customHeight="1">
      <c r="A294" s="45">
        <v>1203</v>
      </c>
      <c r="B294" s="46" t="s">
        <v>210</v>
      </c>
      <c r="C294" s="46">
        <v>2012</v>
      </c>
      <c r="D294" s="46" t="s">
        <v>219</v>
      </c>
      <c r="E294" s="46" t="s">
        <v>83</v>
      </c>
      <c r="F294" s="46">
        <v>4</v>
      </c>
      <c r="G294" s="48">
        <v>108000</v>
      </c>
      <c r="H294" s="46" t="s">
        <v>249</v>
      </c>
      <c r="I294" s="46">
        <v>1</v>
      </c>
      <c r="J294" s="46">
        <v>9</v>
      </c>
      <c r="K294" s="49" t="s">
        <v>235</v>
      </c>
      <c r="L294" s="49" t="s">
        <v>30</v>
      </c>
      <c r="M294" s="49" t="s">
        <v>29</v>
      </c>
      <c r="N294" s="49" t="s">
        <v>512</v>
      </c>
      <c r="O294" s="49"/>
      <c r="P294" s="49" t="s">
        <v>34</v>
      </c>
      <c r="Q294" s="49" t="s">
        <v>35</v>
      </c>
      <c r="R294" s="49">
        <v>1</v>
      </c>
      <c r="S294" s="50">
        <f t="shared" si="140"/>
        <v>11.111111111111111</v>
      </c>
      <c r="T294" s="49">
        <v>2</v>
      </c>
      <c r="U294" s="50">
        <f t="shared" si="141"/>
        <v>22.222222222222221</v>
      </c>
      <c r="V294" s="49" t="s">
        <v>891</v>
      </c>
      <c r="W294" s="49">
        <v>1</v>
      </c>
      <c r="X294" s="50">
        <f t="shared" si="142"/>
        <v>11.111111111111111</v>
      </c>
      <c r="Y294" s="51" t="str">
        <f t="shared" si="143"/>
        <v>No</v>
      </c>
      <c r="Z294" s="49" t="s">
        <v>35</v>
      </c>
      <c r="AA294" s="49" t="s">
        <v>23</v>
      </c>
      <c r="AB294" s="49" t="s">
        <v>23</v>
      </c>
      <c r="AC294" s="46" t="s">
        <v>132</v>
      </c>
      <c r="AD294" s="46" t="s">
        <v>27</v>
      </c>
      <c r="AE294" s="46" t="s">
        <v>89</v>
      </c>
      <c r="AF294" s="46" t="s">
        <v>29</v>
      </c>
      <c r="AG294" s="103">
        <v>35351</v>
      </c>
      <c r="AH294" s="52">
        <v>31334</v>
      </c>
      <c r="AI294" s="52">
        <v>31334</v>
      </c>
      <c r="AJ294" s="102">
        <v>29.18</v>
      </c>
      <c r="AK294" s="104">
        <v>58.36</v>
      </c>
      <c r="AL294" s="108">
        <v>50.27</v>
      </c>
      <c r="AM294" s="108"/>
      <c r="AN294" s="53">
        <f t="shared" si="144"/>
        <v>100.54</v>
      </c>
      <c r="AO294" s="53">
        <v>24.65</v>
      </c>
      <c r="AP294" s="108">
        <v>3785</v>
      </c>
      <c r="AQ294" s="108">
        <v>10.7</v>
      </c>
      <c r="AR294" s="108">
        <v>251</v>
      </c>
      <c r="AS294" s="108">
        <v>0.8</v>
      </c>
      <c r="AT294" s="108">
        <v>181</v>
      </c>
      <c r="AU294" s="108">
        <v>0.6</v>
      </c>
      <c r="AV294" s="111">
        <v>24</v>
      </c>
      <c r="AW294" s="111">
        <v>0.1</v>
      </c>
      <c r="AX294" s="108">
        <v>1737</v>
      </c>
      <c r="AY294" s="108">
        <v>5.5</v>
      </c>
      <c r="AZ294" s="108"/>
      <c r="BA294" s="108"/>
      <c r="BB294" s="108"/>
      <c r="BC294" s="108"/>
      <c r="BD294" s="108">
        <v>174</v>
      </c>
      <c r="BE294" s="108">
        <v>0.6</v>
      </c>
      <c r="BF294" s="108">
        <v>2123</v>
      </c>
      <c r="BG294" s="108">
        <v>6.7</v>
      </c>
      <c r="BH294" s="108">
        <v>6483</v>
      </c>
      <c r="BI294" s="108">
        <v>20.66</v>
      </c>
      <c r="BJ294" s="111">
        <v>3252</v>
      </c>
      <c r="BK294" s="111">
        <v>10.4</v>
      </c>
      <c r="BL294" s="111">
        <v>3231</v>
      </c>
      <c r="BM294" s="111">
        <v>10.3</v>
      </c>
      <c r="BN294" s="102"/>
      <c r="BO294" s="108"/>
      <c r="BP294" s="108"/>
      <c r="BQ294" s="108"/>
      <c r="BR294" s="111" t="s">
        <v>967</v>
      </c>
      <c r="BS294" s="54" t="s">
        <v>29</v>
      </c>
      <c r="BT294" s="45" t="str">
        <f t="shared" si="151"/>
        <v>Yes</v>
      </c>
      <c r="BU294" s="45" t="str">
        <f t="shared" si="152"/>
        <v>Yes</v>
      </c>
      <c r="BV294" s="45" t="str">
        <f t="shared" si="153"/>
        <v>Yes</v>
      </c>
      <c r="BW294" s="55">
        <f t="shared" si="150"/>
        <v>86.503401672596539</v>
      </c>
      <c r="BX294" s="55">
        <v>80.236256247160398</v>
      </c>
      <c r="BY294" s="55">
        <v>84.573401672596532</v>
      </c>
      <c r="BZ294" s="55">
        <f t="shared" si="149"/>
        <v>78.306256247160391</v>
      </c>
      <c r="CA294" s="45">
        <v>2012</v>
      </c>
      <c r="CB294" s="55">
        <f t="shared" si="154"/>
        <v>53.830163720386878</v>
      </c>
      <c r="CC294" s="46" t="s">
        <v>490</v>
      </c>
      <c r="CD294" s="46" t="s">
        <v>71</v>
      </c>
      <c r="CE294" s="71" t="s">
        <v>783</v>
      </c>
      <c r="CF294" s="46">
        <v>1</v>
      </c>
      <c r="CG294" s="46" t="str">
        <f t="shared" si="145"/>
        <v>No</v>
      </c>
      <c r="CH294" s="46" t="s">
        <v>35</v>
      </c>
      <c r="CI294" s="56">
        <v>500</v>
      </c>
      <c r="CJ294" s="46" t="s">
        <v>180</v>
      </c>
      <c r="CK294" s="79">
        <v>1000</v>
      </c>
      <c r="CL294" s="49" t="s">
        <v>35</v>
      </c>
      <c r="CM294" s="50">
        <f>(4/9)*100</f>
        <v>44.444444444444443</v>
      </c>
      <c r="CN294" s="50"/>
      <c r="CO294" s="50"/>
      <c r="CP294" s="46" t="s">
        <v>23</v>
      </c>
      <c r="CQ294" s="46" t="s">
        <v>24</v>
      </c>
      <c r="CR294" s="46">
        <v>11</v>
      </c>
      <c r="CS294" s="46" t="s">
        <v>855</v>
      </c>
      <c r="CT294" s="46" t="s">
        <v>856</v>
      </c>
      <c r="CU294" s="46" t="s">
        <v>213</v>
      </c>
      <c r="CV294" s="46" t="s">
        <v>23</v>
      </c>
      <c r="CW294" s="46">
        <v>3</v>
      </c>
      <c r="CX294" s="49" t="s">
        <v>563</v>
      </c>
      <c r="CY294" s="49" t="s">
        <v>261</v>
      </c>
      <c r="CZ294" s="49">
        <v>0</v>
      </c>
      <c r="DA294" s="49">
        <v>0</v>
      </c>
      <c r="DB294" s="57">
        <v>58209</v>
      </c>
      <c r="DC294" s="58">
        <v>50.99</v>
      </c>
      <c r="DD294" s="58">
        <v>4.1900000000000004</v>
      </c>
      <c r="DE294" s="58">
        <v>9.19</v>
      </c>
      <c r="DF294" s="58">
        <v>32.04</v>
      </c>
      <c r="DG294" s="58">
        <v>3.5999999999999996</v>
      </c>
      <c r="DH294" s="58">
        <v>49.01</v>
      </c>
      <c r="DI294" s="45" t="s">
        <v>29</v>
      </c>
      <c r="DJ294" s="59" t="str">
        <f t="shared" si="147"/>
        <v>N/A</v>
      </c>
      <c r="DK294" s="60">
        <v>58209</v>
      </c>
      <c r="DL294" s="58">
        <v>50.99</v>
      </c>
      <c r="DM294" s="58">
        <v>4.1900000000000004</v>
      </c>
      <c r="DN294" s="58">
        <v>9.19</v>
      </c>
      <c r="DO294" s="58">
        <v>49.01</v>
      </c>
      <c r="DP294" s="66">
        <v>48.3</v>
      </c>
      <c r="DQ294" s="67">
        <v>78387</v>
      </c>
      <c r="DR294" s="53">
        <v>13.3</v>
      </c>
      <c r="DS294" s="58">
        <v>78.7</v>
      </c>
      <c r="DT294" s="53">
        <v>36.6</v>
      </c>
      <c r="DU294" s="55">
        <v>2.3199999999999998</v>
      </c>
      <c r="DV294" s="50">
        <v>38.6</v>
      </c>
      <c r="DW294" s="53">
        <v>86.7</v>
      </c>
      <c r="DX294" s="53">
        <v>84.24</v>
      </c>
      <c r="DY294" s="53">
        <v>45.346499999999999</v>
      </c>
      <c r="DZ294" s="63"/>
    </row>
    <row r="295" spans="1:130" s="5" customFormat="1" ht="14.25" customHeight="1">
      <c r="A295" s="45">
        <v>1204</v>
      </c>
      <c r="B295" s="46" t="s">
        <v>210</v>
      </c>
      <c r="C295" s="46">
        <v>2012</v>
      </c>
      <c r="D295" s="46" t="s">
        <v>219</v>
      </c>
      <c r="E295" s="46" t="s">
        <v>236</v>
      </c>
      <c r="F295" s="46">
        <v>4</v>
      </c>
      <c r="G295" s="48">
        <v>108000</v>
      </c>
      <c r="H295" s="46" t="s">
        <v>249</v>
      </c>
      <c r="I295" s="46">
        <v>1</v>
      </c>
      <c r="J295" s="46">
        <v>1</v>
      </c>
      <c r="K295" s="49" t="s">
        <v>237</v>
      </c>
      <c r="L295" s="49" t="s">
        <v>30</v>
      </c>
      <c r="M295" s="49" t="s">
        <v>29</v>
      </c>
      <c r="N295" s="49" t="s">
        <v>513</v>
      </c>
      <c r="O295" s="49"/>
      <c r="P295" s="49" t="s">
        <v>857</v>
      </c>
      <c r="Q295" s="49" t="s">
        <v>35</v>
      </c>
      <c r="R295" s="49">
        <v>0</v>
      </c>
      <c r="S295" s="50">
        <f t="shared" si="140"/>
        <v>0</v>
      </c>
      <c r="T295" s="49" t="str">
        <f>LEFT(V295,2)</f>
        <v xml:space="preserve">1 </v>
      </c>
      <c r="U295" s="50">
        <f t="shared" si="141"/>
        <v>100</v>
      </c>
      <c r="V295" s="49" t="s">
        <v>789</v>
      </c>
      <c r="W295" s="49">
        <v>0</v>
      </c>
      <c r="X295" s="50">
        <f t="shared" si="142"/>
        <v>0</v>
      </c>
      <c r="Y295" s="51" t="str">
        <f t="shared" si="143"/>
        <v>No</v>
      </c>
      <c r="Z295" s="49" t="s">
        <v>29</v>
      </c>
      <c r="AA295" s="49" t="s">
        <v>35</v>
      </c>
      <c r="AB295" s="49" t="s">
        <v>29</v>
      </c>
      <c r="AC295" s="46" t="s">
        <v>72</v>
      </c>
      <c r="AD295" s="46" t="s">
        <v>27</v>
      </c>
      <c r="AE295" s="46" t="s">
        <v>89</v>
      </c>
      <c r="AF295" s="46" t="s">
        <v>29</v>
      </c>
      <c r="AG295" s="103">
        <v>30441</v>
      </c>
      <c r="AH295" s="52">
        <v>25288</v>
      </c>
      <c r="AI295" s="52">
        <v>25288</v>
      </c>
      <c r="AJ295" s="102">
        <v>95.08</v>
      </c>
      <c r="AK295" s="104">
        <v>190.16</v>
      </c>
      <c r="AL295" s="108">
        <v>95.08</v>
      </c>
      <c r="AM295" s="108" t="s">
        <v>23</v>
      </c>
      <c r="AN295" s="53">
        <f t="shared" si="144"/>
        <v>190.16</v>
      </c>
      <c r="AO295" s="53" t="s">
        <v>23</v>
      </c>
      <c r="AP295" s="108">
        <v>5128</v>
      </c>
      <c r="AQ295" s="108">
        <v>16.845701520975002</v>
      </c>
      <c r="AR295" s="108">
        <v>25</v>
      </c>
      <c r="AS295" s="108">
        <f>AR295/AI295 *100</f>
        <v>9.8861119898766225E-2</v>
      </c>
      <c r="AT295" s="108">
        <v>25</v>
      </c>
      <c r="AU295" s="108">
        <v>0.1</v>
      </c>
      <c r="AV295" s="108"/>
      <c r="AW295" s="108"/>
      <c r="AX295" s="108"/>
      <c r="AY295" s="108"/>
      <c r="AZ295" s="108"/>
      <c r="BA295" s="108"/>
      <c r="BB295" s="108"/>
      <c r="BC295" s="108"/>
      <c r="BD295" s="108"/>
      <c r="BE295" s="108"/>
      <c r="BF295" s="108"/>
      <c r="BG295" s="108"/>
      <c r="BH295" s="108"/>
      <c r="BI295" s="108"/>
      <c r="BJ295" s="108"/>
      <c r="BK295" s="108"/>
      <c r="BL295" s="108"/>
      <c r="BM295" s="108"/>
      <c r="BN295" s="102"/>
      <c r="BO295" s="108"/>
      <c r="BP295" s="108"/>
      <c r="BQ295" s="108"/>
      <c r="BR295" s="108"/>
      <c r="BS295" s="54" t="s">
        <v>23</v>
      </c>
      <c r="BT295" s="45" t="str">
        <f t="shared" si="151"/>
        <v>No</v>
      </c>
      <c r="BU295" s="45" t="str">
        <f t="shared" si="152"/>
        <v>No</v>
      </c>
      <c r="BV295" s="45" t="str">
        <f t="shared" si="153"/>
        <v>No</v>
      </c>
      <c r="BW295" s="55">
        <f t="shared" si="150"/>
        <v>86.503401672596539</v>
      </c>
      <c r="BX295" s="55">
        <v>92.572820393046598</v>
      </c>
      <c r="BY295" s="55">
        <v>84.573401672596532</v>
      </c>
      <c r="BZ295" s="55">
        <f t="shared" si="149"/>
        <v>90.642820393046591</v>
      </c>
      <c r="CA295" s="45">
        <v>2012</v>
      </c>
      <c r="CB295" s="55">
        <f t="shared" si="154"/>
        <v>44.988436221312931</v>
      </c>
      <c r="CC295" s="46" t="s">
        <v>490</v>
      </c>
      <c r="CD295" s="46" t="s">
        <v>71</v>
      </c>
      <c r="CE295" s="71" t="s">
        <v>783</v>
      </c>
      <c r="CF295" s="46">
        <v>1</v>
      </c>
      <c r="CG295" s="46" t="str">
        <f t="shared" si="145"/>
        <v>No</v>
      </c>
      <c r="CH295" s="46" t="s">
        <v>35</v>
      </c>
      <c r="CI295" s="56">
        <v>500</v>
      </c>
      <c r="CJ295" s="46" t="s">
        <v>180</v>
      </c>
      <c r="CK295" s="79">
        <v>1000</v>
      </c>
      <c r="CL295" s="49" t="s">
        <v>35</v>
      </c>
      <c r="CM295" s="50">
        <v>0</v>
      </c>
      <c r="CN295" s="50"/>
      <c r="CO295" s="50"/>
      <c r="CP295" s="46" t="s">
        <v>23</v>
      </c>
      <c r="CQ295" s="46" t="s">
        <v>24</v>
      </c>
      <c r="CR295" s="46">
        <v>11</v>
      </c>
      <c r="CS295" s="46" t="s">
        <v>855</v>
      </c>
      <c r="CT295" s="46" t="s">
        <v>856</v>
      </c>
      <c r="CU295" s="46" t="s">
        <v>213</v>
      </c>
      <c r="CV295" s="46" t="s">
        <v>23</v>
      </c>
      <c r="CW295" s="46">
        <v>3</v>
      </c>
      <c r="CX295" s="49" t="s">
        <v>563</v>
      </c>
      <c r="CY295" s="49" t="s">
        <v>261</v>
      </c>
      <c r="CZ295" s="49">
        <v>0</v>
      </c>
      <c r="DA295" s="49">
        <v>0</v>
      </c>
      <c r="DB295" s="57">
        <v>56210</v>
      </c>
      <c r="DC295" s="58">
        <v>41.82</v>
      </c>
      <c r="DD295" s="58">
        <v>5.0299999999999994</v>
      </c>
      <c r="DE295" s="58">
        <v>24.48</v>
      </c>
      <c r="DF295" s="58">
        <v>25.41</v>
      </c>
      <c r="DG295" s="58">
        <v>3.3000000000000003</v>
      </c>
      <c r="DH295" s="58">
        <v>58.18</v>
      </c>
      <c r="DI295" s="45" t="s">
        <v>35</v>
      </c>
      <c r="DJ295" s="59" t="str">
        <f t="shared" si="147"/>
        <v>No single majority group</v>
      </c>
      <c r="DK295" s="60">
        <v>56210</v>
      </c>
      <c r="DL295" s="58">
        <v>41.82</v>
      </c>
      <c r="DM295" s="58">
        <v>5.0299999999999994</v>
      </c>
      <c r="DN295" s="58">
        <v>24.48</v>
      </c>
      <c r="DO295" s="58">
        <v>58.18</v>
      </c>
      <c r="DP295" s="66">
        <v>48.3</v>
      </c>
      <c r="DQ295" s="67">
        <v>78387</v>
      </c>
      <c r="DR295" s="53">
        <v>13.3</v>
      </c>
      <c r="DS295" s="58">
        <v>78.7</v>
      </c>
      <c r="DT295" s="53">
        <v>36.6</v>
      </c>
      <c r="DU295" s="55">
        <v>2.3199999999999998</v>
      </c>
      <c r="DV295" s="50">
        <v>38.6</v>
      </c>
      <c r="DW295" s="53">
        <v>86.7</v>
      </c>
      <c r="DX295" s="53">
        <v>84.24</v>
      </c>
      <c r="DY295" s="53">
        <v>45.346499999999999</v>
      </c>
      <c r="DZ295" s="63"/>
    </row>
    <row r="296" spans="1:130" s="5" customFormat="1" ht="14.25" customHeight="1">
      <c r="A296" s="45">
        <v>1205</v>
      </c>
      <c r="B296" s="46" t="s">
        <v>210</v>
      </c>
      <c r="C296" s="46">
        <v>2012</v>
      </c>
      <c r="D296" s="46" t="s">
        <v>219</v>
      </c>
      <c r="E296" s="46" t="s">
        <v>238</v>
      </c>
      <c r="F296" s="46">
        <v>4</v>
      </c>
      <c r="G296" s="48">
        <v>108000</v>
      </c>
      <c r="H296" s="46" t="s">
        <v>249</v>
      </c>
      <c r="I296" s="46">
        <v>1</v>
      </c>
      <c r="J296" s="46">
        <v>1</v>
      </c>
      <c r="K296" s="49" t="s">
        <v>239</v>
      </c>
      <c r="L296" s="49" t="s">
        <v>30</v>
      </c>
      <c r="M296" s="49" t="s">
        <v>29</v>
      </c>
      <c r="N296" s="49" t="s">
        <v>513</v>
      </c>
      <c r="O296" s="49"/>
      <c r="P296" s="49" t="s">
        <v>857</v>
      </c>
      <c r="Q296" s="49" t="s">
        <v>35</v>
      </c>
      <c r="R296" s="49">
        <v>0</v>
      </c>
      <c r="S296" s="50">
        <f t="shared" si="140"/>
        <v>0</v>
      </c>
      <c r="T296" s="49" t="str">
        <f>LEFT(V296,2)</f>
        <v xml:space="preserve">1 </v>
      </c>
      <c r="U296" s="50">
        <f t="shared" si="141"/>
        <v>100</v>
      </c>
      <c r="V296" s="49" t="s">
        <v>789</v>
      </c>
      <c r="W296" s="49">
        <v>0</v>
      </c>
      <c r="X296" s="50">
        <f t="shared" si="142"/>
        <v>0</v>
      </c>
      <c r="Y296" s="51" t="str">
        <f t="shared" si="143"/>
        <v>No</v>
      </c>
      <c r="Z296" s="49" t="s">
        <v>29</v>
      </c>
      <c r="AA296" s="49" t="s">
        <v>35</v>
      </c>
      <c r="AB296" s="49" t="s">
        <v>29</v>
      </c>
      <c r="AC296" s="46" t="s">
        <v>72</v>
      </c>
      <c r="AD296" s="46" t="s">
        <v>27</v>
      </c>
      <c r="AE296" s="46" t="s">
        <v>89</v>
      </c>
      <c r="AF296" s="46" t="s">
        <v>29</v>
      </c>
      <c r="AG296" s="103">
        <v>23795</v>
      </c>
      <c r="AH296" s="52">
        <v>18831</v>
      </c>
      <c r="AI296" s="52">
        <v>18831</v>
      </c>
      <c r="AJ296" s="102">
        <v>94.25</v>
      </c>
      <c r="AK296" s="104">
        <v>188.5</v>
      </c>
      <c r="AL296" s="111">
        <v>94.25</v>
      </c>
      <c r="AM296" s="111" t="s">
        <v>23</v>
      </c>
      <c r="AN296" s="53">
        <f t="shared" si="144"/>
        <v>188.5</v>
      </c>
      <c r="AO296" s="53" t="s">
        <v>23</v>
      </c>
      <c r="AP296" s="111">
        <v>4952</v>
      </c>
      <c r="AQ296" s="108">
        <v>20.811094767808363</v>
      </c>
      <c r="AR296" s="111">
        <v>12</v>
      </c>
      <c r="AS296" s="108">
        <f>AR296/AI296 *100</f>
        <v>6.372470925601402E-2</v>
      </c>
      <c r="AT296" s="108">
        <v>12</v>
      </c>
      <c r="AU296" s="108">
        <v>0.1</v>
      </c>
      <c r="AV296" s="108"/>
      <c r="AW296" s="108"/>
      <c r="AX296" s="111"/>
      <c r="AY296" s="111"/>
      <c r="AZ296" s="111"/>
      <c r="BA296" s="111"/>
      <c r="BB296" s="111"/>
      <c r="BC296" s="111"/>
      <c r="BD296" s="111"/>
      <c r="BE296" s="111"/>
      <c r="BF296" s="111"/>
      <c r="BG296" s="111"/>
      <c r="BH296" s="111"/>
      <c r="BI296" s="111"/>
      <c r="BJ296" s="108"/>
      <c r="BK296" s="108"/>
      <c r="BL296" s="108"/>
      <c r="BM296" s="108"/>
      <c r="BN296" s="102"/>
      <c r="BO296" s="111"/>
      <c r="BP296" s="111"/>
      <c r="BQ296" s="111"/>
      <c r="BR296" s="108"/>
      <c r="BS296" s="54" t="s">
        <v>23</v>
      </c>
      <c r="BT296" s="45" t="str">
        <f t="shared" si="151"/>
        <v>No</v>
      </c>
      <c r="BU296" s="45" t="str">
        <f t="shared" si="152"/>
        <v>No</v>
      </c>
      <c r="BV296" s="45" t="str">
        <f t="shared" si="153"/>
        <v>No</v>
      </c>
      <c r="BW296" s="55">
        <f t="shared" si="150"/>
        <v>86.503401672596539</v>
      </c>
      <c r="BX296" s="55">
        <v>86.496809939556798</v>
      </c>
      <c r="BY296" s="55">
        <v>84.573401672596532</v>
      </c>
      <c r="BZ296" s="55">
        <f t="shared" si="149"/>
        <v>84.566809939556791</v>
      </c>
      <c r="CA296" s="45">
        <v>2012</v>
      </c>
      <c r="CB296" s="55">
        <f t="shared" si="154"/>
        <v>32.619088861943531</v>
      </c>
      <c r="CC296" s="46" t="s">
        <v>490</v>
      </c>
      <c r="CD296" s="46" t="s">
        <v>71</v>
      </c>
      <c r="CE296" s="71" t="s">
        <v>783</v>
      </c>
      <c r="CF296" s="46">
        <v>1</v>
      </c>
      <c r="CG296" s="46" t="str">
        <f t="shared" si="145"/>
        <v>No</v>
      </c>
      <c r="CH296" s="46" t="s">
        <v>35</v>
      </c>
      <c r="CI296" s="56">
        <v>500</v>
      </c>
      <c r="CJ296" s="46" t="s">
        <v>180</v>
      </c>
      <c r="CK296" s="79">
        <v>1000</v>
      </c>
      <c r="CL296" s="49" t="s">
        <v>35</v>
      </c>
      <c r="CM296" s="50">
        <v>0</v>
      </c>
      <c r="CN296" s="50"/>
      <c r="CO296" s="50"/>
      <c r="CP296" s="46" t="s">
        <v>23</v>
      </c>
      <c r="CQ296" s="46" t="s">
        <v>24</v>
      </c>
      <c r="CR296" s="46">
        <v>11</v>
      </c>
      <c r="CS296" s="46" t="s">
        <v>855</v>
      </c>
      <c r="CT296" s="46" t="s">
        <v>856</v>
      </c>
      <c r="CU296" s="46" t="s">
        <v>213</v>
      </c>
      <c r="CV296" s="46" t="s">
        <v>23</v>
      </c>
      <c r="CW296" s="46">
        <v>3</v>
      </c>
      <c r="CX296" s="49" t="s">
        <v>563</v>
      </c>
      <c r="CY296" s="49" t="s">
        <v>261</v>
      </c>
      <c r="CZ296" s="49">
        <v>0</v>
      </c>
      <c r="DA296" s="49">
        <v>0</v>
      </c>
      <c r="DB296" s="57">
        <v>57730</v>
      </c>
      <c r="DC296" s="58">
        <v>19.309999999999999</v>
      </c>
      <c r="DD296" s="58">
        <v>7.39</v>
      </c>
      <c r="DE296" s="58">
        <v>21.22</v>
      </c>
      <c r="DF296" s="58">
        <v>49.28</v>
      </c>
      <c r="DG296" s="58">
        <v>2.8000000000000003</v>
      </c>
      <c r="DH296" s="58">
        <v>80.69</v>
      </c>
      <c r="DI296" s="45" t="s">
        <v>35</v>
      </c>
      <c r="DJ296" s="59" t="str">
        <f t="shared" si="147"/>
        <v>No single majority group</v>
      </c>
      <c r="DK296" s="60">
        <v>57730</v>
      </c>
      <c r="DL296" s="58">
        <v>19.309999999999999</v>
      </c>
      <c r="DM296" s="58">
        <v>7.39</v>
      </c>
      <c r="DN296" s="58">
        <v>21.22</v>
      </c>
      <c r="DO296" s="58">
        <v>80.69</v>
      </c>
      <c r="DP296" s="66">
        <v>48.3</v>
      </c>
      <c r="DQ296" s="67">
        <v>78387</v>
      </c>
      <c r="DR296" s="53">
        <v>13.3</v>
      </c>
      <c r="DS296" s="58">
        <v>78.7</v>
      </c>
      <c r="DT296" s="53">
        <v>36.6</v>
      </c>
      <c r="DU296" s="55">
        <v>2.3199999999999998</v>
      </c>
      <c r="DV296" s="50">
        <v>38.6</v>
      </c>
      <c r="DW296" s="53">
        <v>86.7</v>
      </c>
      <c r="DX296" s="53">
        <v>84.24</v>
      </c>
      <c r="DY296" s="53">
        <v>45.346499999999999</v>
      </c>
      <c r="DZ296" s="63"/>
    </row>
    <row r="297" spans="1:130" s="5" customFormat="1" ht="14.25" customHeight="1">
      <c r="A297" s="45">
        <v>1199</v>
      </c>
      <c r="B297" s="46" t="s">
        <v>210</v>
      </c>
      <c r="C297" s="46">
        <v>2013</v>
      </c>
      <c r="D297" s="46" t="s">
        <v>219</v>
      </c>
      <c r="E297" s="46" t="s">
        <v>80</v>
      </c>
      <c r="F297" s="46">
        <v>1</v>
      </c>
      <c r="G297" s="48">
        <v>108000</v>
      </c>
      <c r="H297" s="46" t="s">
        <v>249</v>
      </c>
      <c r="I297" s="46">
        <v>1</v>
      </c>
      <c r="J297" s="46">
        <v>3</v>
      </c>
      <c r="K297" s="49" t="s">
        <v>221</v>
      </c>
      <c r="L297" s="49" t="s">
        <v>40</v>
      </c>
      <c r="M297" s="49" t="s">
        <v>35</v>
      </c>
      <c r="N297" s="49" t="s">
        <v>513</v>
      </c>
      <c r="O297" s="49"/>
      <c r="P297" s="49" t="s">
        <v>34</v>
      </c>
      <c r="Q297" s="49" t="s">
        <v>35</v>
      </c>
      <c r="R297" s="49">
        <v>1</v>
      </c>
      <c r="S297" s="50">
        <f t="shared" si="140"/>
        <v>33.333333333333329</v>
      </c>
      <c r="T297" s="49" t="str">
        <f>LEFT(V297,2)</f>
        <v xml:space="preserve">1 </v>
      </c>
      <c r="U297" s="50">
        <f t="shared" si="141"/>
        <v>33.333333333333329</v>
      </c>
      <c r="V297" s="49" t="s">
        <v>173</v>
      </c>
      <c r="W297" s="49">
        <v>1</v>
      </c>
      <c r="X297" s="50">
        <f t="shared" si="142"/>
        <v>33.333333333333329</v>
      </c>
      <c r="Y297" s="51" t="str">
        <f t="shared" si="143"/>
        <v>Yes</v>
      </c>
      <c r="Z297" s="49" t="s">
        <v>29</v>
      </c>
      <c r="AA297" s="49" t="s">
        <v>35</v>
      </c>
      <c r="AB297" s="45" t="s">
        <v>35</v>
      </c>
      <c r="AC297" s="46" t="s">
        <v>72</v>
      </c>
      <c r="AD297" s="46" t="s">
        <v>27</v>
      </c>
      <c r="AE297" s="46" t="s">
        <v>228</v>
      </c>
      <c r="AF297" s="46" t="s">
        <v>35</v>
      </c>
      <c r="AG297" s="103">
        <v>12138</v>
      </c>
      <c r="AH297" s="52">
        <v>10849</v>
      </c>
      <c r="AI297" s="52">
        <v>10849</v>
      </c>
      <c r="AJ297" s="102">
        <v>80.42</v>
      </c>
      <c r="AK297" s="104">
        <v>160.84</v>
      </c>
      <c r="AL297" s="111">
        <v>80.42</v>
      </c>
      <c r="AM297" s="111">
        <v>80.42</v>
      </c>
      <c r="AN297" s="53">
        <f t="shared" si="144"/>
        <v>160.84</v>
      </c>
      <c r="AO297" s="53">
        <v>16.16</v>
      </c>
      <c r="AP297" s="111">
        <v>709</v>
      </c>
      <c r="AQ297" s="108">
        <v>5.8411599934091285</v>
      </c>
      <c r="AR297" s="111">
        <v>83</v>
      </c>
      <c r="AS297" s="111">
        <f>AR297/AI297 *100</f>
        <v>0.76504746981288596</v>
      </c>
      <c r="AT297" s="111"/>
      <c r="AU297" s="111"/>
      <c r="AV297" s="105"/>
      <c r="AW297" s="105"/>
      <c r="AX297" s="111"/>
      <c r="AY297" s="111"/>
      <c r="AZ297" s="111"/>
      <c r="BA297" s="111"/>
      <c r="BB297" s="111"/>
      <c r="BC297" s="111"/>
      <c r="BD297" s="111"/>
      <c r="BE297" s="111"/>
      <c r="BF297" s="111"/>
      <c r="BG297" s="111"/>
      <c r="BH297" s="111"/>
      <c r="BI297" s="111"/>
      <c r="BJ297" s="105"/>
      <c r="BK297" s="105"/>
      <c r="BL297" s="105"/>
      <c r="BM297" s="105"/>
      <c r="BN297" s="102"/>
      <c r="BO297" s="111"/>
      <c r="BP297" s="111"/>
      <c r="BQ297" s="111"/>
      <c r="BR297" s="105"/>
      <c r="BS297" s="54" t="s">
        <v>29</v>
      </c>
      <c r="BT297" s="45" t="str">
        <f t="shared" si="151"/>
        <v>No</v>
      </c>
      <c r="BU297" s="45" t="str">
        <f t="shared" si="152"/>
        <v>No</v>
      </c>
      <c r="BV297" s="45" t="str">
        <f t="shared" si="153"/>
        <v>No</v>
      </c>
      <c r="BW297" s="55">
        <f t="shared" si="150"/>
        <v>86.503401672596539</v>
      </c>
      <c r="BX297" s="55">
        <v>81.359853586104506</v>
      </c>
      <c r="BY297" s="55">
        <v>84.573401672596532</v>
      </c>
      <c r="BZ297" s="55">
        <f t="shared" si="149"/>
        <v>79.4298535861045</v>
      </c>
      <c r="CA297" s="45">
        <v>2012</v>
      </c>
      <c r="CB297" s="55">
        <f t="shared" si="154"/>
        <v>18.890823611352953</v>
      </c>
      <c r="CC297" s="46" t="s">
        <v>490</v>
      </c>
      <c r="CD297" s="46" t="s">
        <v>71</v>
      </c>
      <c r="CE297" s="71" t="s">
        <v>783</v>
      </c>
      <c r="CF297" s="46">
        <v>1</v>
      </c>
      <c r="CG297" s="46" t="str">
        <f t="shared" si="145"/>
        <v>No</v>
      </c>
      <c r="CH297" s="46" t="s">
        <v>35</v>
      </c>
      <c r="CI297" s="56">
        <v>2160</v>
      </c>
      <c r="CJ297" s="46" t="s">
        <v>180</v>
      </c>
      <c r="CK297" s="79">
        <f>CI297*2</f>
        <v>4320</v>
      </c>
      <c r="CL297" s="49" t="s">
        <v>35</v>
      </c>
      <c r="CM297" s="50">
        <v>0</v>
      </c>
      <c r="CN297" s="50"/>
      <c r="CO297" s="50"/>
      <c r="CP297" s="46" t="s">
        <v>23</v>
      </c>
      <c r="CQ297" s="46" t="s">
        <v>24</v>
      </c>
      <c r="CR297" s="46">
        <v>11</v>
      </c>
      <c r="CS297" s="46" t="s">
        <v>855</v>
      </c>
      <c r="CT297" s="46" t="s">
        <v>856</v>
      </c>
      <c r="CU297" s="46" t="s">
        <v>213</v>
      </c>
      <c r="CV297" s="46" t="s">
        <v>23</v>
      </c>
      <c r="CW297" s="46">
        <v>4</v>
      </c>
      <c r="CX297" s="49" t="s">
        <v>215</v>
      </c>
      <c r="CY297" s="49" t="s">
        <v>216</v>
      </c>
      <c r="CZ297" s="49">
        <v>1</v>
      </c>
      <c r="DA297" s="49">
        <v>1</v>
      </c>
      <c r="DB297" s="57">
        <v>57430</v>
      </c>
      <c r="DC297" s="58">
        <v>35.64</v>
      </c>
      <c r="DD297" s="58">
        <v>0.82000000000000006</v>
      </c>
      <c r="DE297" s="58">
        <v>6.12</v>
      </c>
      <c r="DF297" s="58">
        <v>54.83</v>
      </c>
      <c r="DG297" s="58">
        <v>2.6</v>
      </c>
      <c r="DH297" s="58">
        <v>64.36</v>
      </c>
      <c r="DI297" s="45" t="s">
        <v>35</v>
      </c>
      <c r="DJ297" s="59" t="str">
        <f t="shared" si="147"/>
        <v>Asian</v>
      </c>
      <c r="DK297" s="60">
        <v>57430</v>
      </c>
      <c r="DL297" s="58">
        <v>35.64</v>
      </c>
      <c r="DM297" s="58">
        <v>0.82000000000000006</v>
      </c>
      <c r="DN297" s="58">
        <v>6.12</v>
      </c>
      <c r="DO297" s="58">
        <v>64.36</v>
      </c>
      <c r="DP297" s="66">
        <v>48.3</v>
      </c>
      <c r="DQ297" s="67">
        <v>78387</v>
      </c>
      <c r="DR297" s="53">
        <v>13.3</v>
      </c>
      <c r="DS297" s="58">
        <v>78.7</v>
      </c>
      <c r="DT297" s="53">
        <v>36.6</v>
      </c>
      <c r="DU297" s="55">
        <v>2.3199999999999998</v>
      </c>
      <c r="DV297" s="50">
        <v>38.6</v>
      </c>
      <c r="DW297" s="53">
        <v>86.7</v>
      </c>
      <c r="DX297" s="53">
        <v>84.24</v>
      </c>
      <c r="DY297" s="53">
        <v>45.346499999999999</v>
      </c>
      <c r="DZ297" s="49" t="s">
        <v>932</v>
      </c>
    </row>
    <row r="298" spans="1:130" s="5" customFormat="1" ht="14.25" customHeight="1">
      <c r="A298" s="45">
        <v>1197</v>
      </c>
      <c r="B298" s="46" t="s">
        <v>210</v>
      </c>
      <c r="C298" s="46">
        <v>2013</v>
      </c>
      <c r="D298" s="46" t="s">
        <v>227</v>
      </c>
      <c r="E298" s="46" t="s">
        <v>22</v>
      </c>
      <c r="F298" s="46">
        <v>4</v>
      </c>
      <c r="G298" s="48">
        <v>235000</v>
      </c>
      <c r="H298" s="46" t="s">
        <v>249</v>
      </c>
      <c r="I298" s="46">
        <v>1</v>
      </c>
      <c r="J298" s="46">
        <v>1</v>
      </c>
      <c r="K298" s="49" t="s">
        <v>229</v>
      </c>
      <c r="L298" s="49" t="s">
        <v>30</v>
      </c>
      <c r="M298" s="49" t="s">
        <v>29</v>
      </c>
      <c r="N298" s="49" t="s">
        <v>513</v>
      </c>
      <c r="O298" s="49"/>
      <c r="P298" s="49" t="s">
        <v>857</v>
      </c>
      <c r="Q298" s="49" t="s">
        <v>35</v>
      </c>
      <c r="R298" s="49">
        <v>0</v>
      </c>
      <c r="S298" s="50">
        <f t="shared" si="140"/>
        <v>0</v>
      </c>
      <c r="T298" s="49" t="str">
        <f>LEFT(V298,2)</f>
        <v xml:space="preserve">1 </v>
      </c>
      <c r="U298" s="50">
        <f t="shared" si="141"/>
        <v>100</v>
      </c>
      <c r="V298" s="49" t="s">
        <v>789</v>
      </c>
      <c r="W298" s="49">
        <v>0</v>
      </c>
      <c r="X298" s="50">
        <f t="shared" si="142"/>
        <v>0</v>
      </c>
      <c r="Y298" s="51" t="str">
        <f t="shared" si="143"/>
        <v>No</v>
      </c>
      <c r="Z298" s="49" t="s">
        <v>29</v>
      </c>
      <c r="AA298" s="49" t="s">
        <v>35</v>
      </c>
      <c r="AB298" s="49" t="s">
        <v>29</v>
      </c>
      <c r="AC298" s="46" t="s">
        <v>72</v>
      </c>
      <c r="AD298" s="46" t="s">
        <v>27</v>
      </c>
      <c r="AE298" s="46" t="s">
        <v>228</v>
      </c>
      <c r="AF298" s="46" t="s">
        <v>29</v>
      </c>
      <c r="AG298" s="103">
        <v>128937</v>
      </c>
      <c r="AH298" s="52">
        <v>98367</v>
      </c>
      <c r="AI298" s="52">
        <v>98367</v>
      </c>
      <c r="AJ298" s="102">
        <v>96.91</v>
      </c>
      <c r="AK298" s="104">
        <v>193.82</v>
      </c>
      <c r="AL298" s="108">
        <v>96.91</v>
      </c>
      <c r="AM298" s="108" t="s">
        <v>23</v>
      </c>
      <c r="AN298" s="53">
        <f t="shared" si="144"/>
        <v>193.82</v>
      </c>
      <c r="AO298" s="53" t="s">
        <v>23</v>
      </c>
      <c r="AP298" s="108">
        <v>30501</v>
      </c>
      <c r="AQ298" s="108">
        <v>23.655738849205427</v>
      </c>
      <c r="AR298" s="108">
        <v>69</v>
      </c>
      <c r="AS298" s="108">
        <f>AR298/AI298 *100</f>
        <v>7.0145475616822717E-2</v>
      </c>
      <c r="AT298" s="108"/>
      <c r="AU298" s="108"/>
      <c r="AV298" s="108"/>
      <c r="AW298" s="108"/>
      <c r="AX298" s="108"/>
      <c r="AY298" s="108"/>
      <c r="AZ298" s="108"/>
      <c r="BA298" s="108"/>
      <c r="BB298" s="108"/>
      <c r="BC298" s="108"/>
      <c r="BD298" s="108"/>
      <c r="BE298" s="108"/>
      <c r="BF298" s="108"/>
      <c r="BG298" s="108"/>
      <c r="BH298" s="108"/>
      <c r="BI298" s="108"/>
      <c r="BJ298" s="108"/>
      <c r="BK298" s="108"/>
      <c r="BL298" s="108"/>
      <c r="BM298" s="108"/>
      <c r="BN298" s="102"/>
      <c r="BO298" s="108"/>
      <c r="BP298" s="108"/>
      <c r="BQ298" s="108"/>
      <c r="BR298" s="108"/>
      <c r="BS298" s="54" t="s">
        <v>23</v>
      </c>
      <c r="BT298" s="45" t="str">
        <f t="shared" si="151"/>
        <v>No</v>
      </c>
      <c r="BU298" s="45" t="str">
        <f t="shared" si="152"/>
        <v>No</v>
      </c>
      <c r="BV298" s="45" t="str">
        <f t="shared" si="153"/>
        <v>No</v>
      </c>
      <c r="BW298" s="55">
        <f t="shared" si="150"/>
        <v>86.503401672596539</v>
      </c>
      <c r="BX298" s="55">
        <f>(301723/(301723+ 47076))*100</f>
        <v>86.503401672596539</v>
      </c>
      <c r="BY298" s="55">
        <v>84.573401672596532</v>
      </c>
      <c r="BZ298" s="55">
        <f t="shared" si="149"/>
        <v>84.573401672596532</v>
      </c>
      <c r="CA298" s="45">
        <v>2012</v>
      </c>
      <c r="CB298" s="55">
        <f t="shared" si="154"/>
        <v>16.156992214447623</v>
      </c>
      <c r="CC298" s="46" t="s">
        <v>490</v>
      </c>
      <c r="CD298" s="46" t="s">
        <v>71</v>
      </c>
      <c r="CE298" s="71" t="s">
        <v>783</v>
      </c>
      <c r="CF298" s="46">
        <v>1</v>
      </c>
      <c r="CG298" s="46" t="str">
        <f t="shared" si="145"/>
        <v>No</v>
      </c>
      <c r="CH298" s="46" t="s">
        <v>29</v>
      </c>
      <c r="CI298" s="56">
        <v>4700</v>
      </c>
      <c r="CJ298" s="46" t="s">
        <v>180</v>
      </c>
      <c r="CK298" s="56">
        <f>CI298*2</f>
        <v>9400</v>
      </c>
      <c r="CL298" s="49" t="s">
        <v>29</v>
      </c>
      <c r="CM298" s="50">
        <v>0</v>
      </c>
      <c r="CN298" s="50"/>
      <c r="CO298" s="50"/>
      <c r="CP298" s="46" t="s">
        <v>23</v>
      </c>
      <c r="CQ298" s="46" t="s">
        <v>23</v>
      </c>
      <c r="CR298" s="46">
        <v>11</v>
      </c>
      <c r="CS298" s="46" t="s">
        <v>855</v>
      </c>
      <c r="CT298" s="46" t="s">
        <v>963</v>
      </c>
      <c r="CU298" s="46" t="s">
        <v>213</v>
      </c>
      <c r="CV298" s="46" t="s">
        <v>23</v>
      </c>
      <c r="CW298" s="46">
        <v>3</v>
      </c>
      <c r="CX298" s="49" t="s">
        <v>215</v>
      </c>
      <c r="CY298" s="49" t="s">
        <v>216</v>
      </c>
      <c r="CZ298" s="49">
        <v>1</v>
      </c>
      <c r="DA298" s="49">
        <v>1</v>
      </c>
      <c r="DB298" s="57">
        <v>608820</v>
      </c>
      <c r="DC298" s="58">
        <v>47.985447258631453</v>
      </c>
      <c r="DD298" s="58">
        <v>6.1003252192766331</v>
      </c>
      <c r="DE298" s="58">
        <v>11.456588154134227</v>
      </c>
      <c r="DF298" s="58">
        <v>31.097040176078316</v>
      </c>
      <c r="DG298" s="58">
        <v>3.3605991918793654</v>
      </c>
      <c r="DH298" s="58">
        <v>52.014552741368547</v>
      </c>
      <c r="DI298" s="45" t="s">
        <v>35</v>
      </c>
      <c r="DJ298" s="59" t="str">
        <f t="shared" si="147"/>
        <v>No single majority group</v>
      </c>
      <c r="DK298" s="60">
        <v>608820</v>
      </c>
      <c r="DL298" s="58">
        <v>47.985447258631453</v>
      </c>
      <c r="DM298" s="58">
        <v>6.1003252192766331</v>
      </c>
      <c r="DN298" s="58">
        <v>11.456588154134227</v>
      </c>
      <c r="DO298" s="58">
        <v>52.014552741368547</v>
      </c>
      <c r="DP298" s="66">
        <v>48.3</v>
      </c>
      <c r="DQ298" s="67">
        <v>78387</v>
      </c>
      <c r="DR298" s="53">
        <v>13.3</v>
      </c>
      <c r="DS298" s="58">
        <v>78.7</v>
      </c>
      <c r="DT298" s="53">
        <v>36.6</v>
      </c>
      <c r="DU298" s="55">
        <v>2.3199999999999998</v>
      </c>
      <c r="DV298" s="102">
        <v>38.6</v>
      </c>
      <c r="DW298" s="53">
        <v>86.7</v>
      </c>
      <c r="DX298" s="53">
        <v>84.24</v>
      </c>
      <c r="DY298" s="53">
        <v>45.346499999999999</v>
      </c>
      <c r="DZ298" s="63"/>
    </row>
    <row r="299" spans="1:130" s="5" customFormat="1" ht="14.25" customHeight="1">
      <c r="A299" s="45">
        <v>1198</v>
      </c>
      <c r="B299" s="46" t="s">
        <v>210</v>
      </c>
      <c r="C299" s="46">
        <v>2013</v>
      </c>
      <c r="D299" s="46" t="s">
        <v>230</v>
      </c>
      <c r="E299" s="46" t="s">
        <v>22</v>
      </c>
      <c r="F299" s="46">
        <v>4</v>
      </c>
      <c r="G299" s="48">
        <v>178000</v>
      </c>
      <c r="H299" s="46" t="s">
        <v>249</v>
      </c>
      <c r="I299" s="46">
        <v>1</v>
      </c>
      <c r="J299" s="46">
        <v>1</v>
      </c>
      <c r="K299" s="49" t="s">
        <v>231</v>
      </c>
      <c r="L299" s="49" t="s">
        <v>30</v>
      </c>
      <c r="M299" s="49" t="s">
        <v>29</v>
      </c>
      <c r="N299" s="49" t="s">
        <v>513</v>
      </c>
      <c r="O299" s="49"/>
      <c r="P299" s="49" t="s">
        <v>857</v>
      </c>
      <c r="Q299" s="49" t="s">
        <v>35</v>
      </c>
      <c r="R299" s="49">
        <v>0</v>
      </c>
      <c r="S299" s="50">
        <f t="shared" si="140"/>
        <v>0</v>
      </c>
      <c r="T299" s="49" t="str">
        <f>LEFT(V299,2)</f>
        <v xml:space="preserve">1 </v>
      </c>
      <c r="U299" s="50">
        <f t="shared" si="141"/>
        <v>100</v>
      </c>
      <c r="V299" s="49" t="s">
        <v>789</v>
      </c>
      <c r="W299" s="49">
        <v>0</v>
      </c>
      <c r="X299" s="50">
        <f t="shared" si="142"/>
        <v>0</v>
      </c>
      <c r="Y299" s="51" t="str">
        <f t="shared" si="143"/>
        <v>No</v>
      </c>
      <c r="Z299" s="49" t="s">
        <v>29</v>
      </c>
      <c r="AA299" s="49" t="s">
        <v>35</v>
      </c>
      <c r="AB299" s="49" t="s">
        <v>29</v>
      </c>
      <c r="AC299" s="46" t="s">
        <v>72</v>
      </c>
      <c r="AD299" s="46" t="s">
        <v>27</v>
      </c>
      <c r="AE299" s="46" t="s">
        <v>228</v>
      </c>
      <c r="AF299" s="46" t="s">
        <v>29</v>
      </c>
      <c r="AG299" s="103">
        <v>128937</v>
      </c>
      <c r="AH299" s="52">
        <v>94378</v>
      </c>
      <c r="AI299" s="52">
        <v>94378</v>
      </c>
      <c r="AJ299" s="102">
        <v>96.87</v>
      </c>
      <c r="AK299" s="104">
        <v>193.74</v>
      </c>
      <c r="AL299" s="108">
        <v>96.87</v>
      </c>
      <c r="AM299" s="108" t="s">
        <v>23</v>
      </c>
      <c r="AN299" s="53">
        <f t="shared" si="144"/>
        <v>193.74</v>
      </c>
      <c r="AO299" s="53" t="s">
        <v>23</v>
      </c>
      <c r="AP299" s="108">
        <v>34513</v>
      </c>
      <c r="AQ299" s="108">
        <v>26.767335985791512</v>
      </c>
      <c r="AR299" s="108">
        <v>46</v>
      </c>
      <c r="AS299" s="108">
        <f>AR299/AI299 *100</f>
        <v>4.8740172497827881E-2</v>
      </c>
      <c r="AT299" s="108"/>
      <c r="AU299" s="108"/>
      <c r="AV299" s="108"/>
      <c r="AW299" s="108"/>
      <c r="AX299" s="108"/>
      <c r="AY299" s="108"/>
      <c r="AZ299" s="108"/>
      <c r="BA299" s="108"/>
      <c r="BB299" s="108"/>
      <c r="BC299" s="108"/>
      <c r="BD299" s="108"/>
      <c r="BE299" s="108"/>
      <c r="BF299" s="108"/>
      <c r="BG299" s="108"/>
      <c r="BH299" s="108"/>
      <c r="BI299" s="108"/>
      <c r="BJ299" s="108"/>
      <c r="BK299" s="108"/>
      <c r="BL299" s="108"/>
      <c r="BM299" s="108"/>
      <c r="BN299" s="102"/>
      <c r="BO299" s="108"/>
      <c r="BP299" s="108"/>
      <c r="BQ299" s="108"/>
      <c r="BR299" s="108"/>
      <c r="BS299" s="54" t="s">
        <v>23</v>
      </c>
      <c r="BT299" s="45" t="str">
        <f t="shared" si="151"/>
        <v>No</v>
      </c>
      <c r="BU299" s="45" t="str">
        <f t="shared" si="152"/>
        <v>No</v>
      </c>
      <c r="BV299" s="45" t="str">
        <f t="shared" si="153"/>
        <v>No</v>
      </c>
      <c r="BW299" s="55">
        <f t="shared" si="150"/>
        <v>86.503401672596539</v>
      </c>
      <c r="BX299" s="55">
        <f>(301723/(301723+ 47076))*100</f>
        <v>86.503401672596539</v>
      </c>
      <c r="BY299" s="55">
        <v>84.573401672596532</v>
      </c>
      <c r="BZ299" s="55">
        <f t="shared" si="149"/>
        <v>84.573401672596532</v>
      </c>
      <c r="CA299" s="45">
        <v>2012</v>
      </c>
      <c r="CB299" s="55">
        <f t="shared" si="154"/>
        <v>15.501790348543084</v>
      </c>
      <c r="CC299" s="46" t="s">
        <v>490</v>
      </c>
      <c r="CD299" s="46" t="s">
        <v>71</v>
      </c>
      <c r="CE299" s="71" t="s">
        <v>783</v>
      </c>
      <c r="CF299" s="46">
        <v>1</v>
      </c>
      <c r="CG299" s="46" t="str">
        <f t="shared" si="145"/>
        <v>No</v>
      </c>
      <c r="CH299" s="46" t="s">
        <v>29</v>
      </c>
      <c r="CI299" s="56">
        <v>3560</v>
      </c>
      <c r="CJ299" s="46" t="s">
        <v>180</v>
      </c>
      <c r="CK299" s="56">
        <f>CI299*2</f>
        <v>7120</v>
      </c>
      <c r="CL299" s="49" t="s">
        <v>29</v>
      </c>
      <c r="CM299" s="50">
        <v>0</v>
      </c>
      <c r="CN299" s="50"/>
      <c r="CO299" s="50"/>
      <c r="CP299" s="46" t="s">
        <v>23</v>
      </c>
      <c r="CQ299" s="46" t="s">
        <v>23</v>
      </c>
      <c r="CR299" s="46">
        <v>11</v>
      </c>
      <c r="CS299" s="46" t="s">
        <v>855</v>
      </c>
      <c r="CT299" s="46" t="s">
        <v>963</v>
      </c>
      <c r="CU299" s="46" t="s">
        <v>213</v>
      </c>
      <c r="CV299" s="46" t="s">
        <v>23</v>
      </c>
      <c r="CW299" s="46">
        <v>3</v>
      </c>
      <c r="CX299" s="49" t="s">
        <v>215</v>
      </c>
      <c r="CY299" s="49" t="s">
        <v>216</v>
      </c>
      <c r="CZ299" s="49">
        <v>1</v>
      </c>
      <c r="DA299" s="49">
        <v>1</v>
      </c>
      <c r="DB299" s="57">
        <v>608820</v>
      </c>
      <c r="DC299" s="58">
        <v>47.985447258631453</v>
      </c>
      <c r="DD299" s="58">
        <v>6.1003252192766331</v>
      </c>
      <c r="DE299" s="58">
        <v>11.456588154134227</v>
      </c>
      <c r="DF299" s="58">
        <v>31.097040176078316</v>
      </c>
      <c r="DG299" s="58">
        <v>3.3605991918793654</v>
      </c>
      <c r="DH299" s="58">
        <v>52.014552741368547</v>
      </c>
      <c r="DI299" s="45" t="s">
        <v>35</v>
      </c>
      <c r="DJ299" s="59" t="str">
        <f t="shared" si="147"/>
        <v>No single majority group</v>
      </c>
      <c r="DK299" s="60">
        <v>608820</v>
      </c>
      <c r="DL299" s="58">
        <v>47.985447258631453</v>
      </c>
      <c r="DM299" s="58">
        <v>6.1003252192766331</v>
      </c>
      <c r="DN299" s="58">
        <v>11.456588154134227</v>
      </c>
      <c r="DO299" s="58">
        <v>52.014552741368547</v>
      </c>
      <c r="DP299" s="66">
        <v>48.3</v>
      </c>
      <c r="DQ299" s="67">
        <v>78387</v>
      </c>
      <c r="DR299" s="53">
        <v>13.3</v>
      </c>
      <c r="DS299" s="58">
        <v>78.7</v>
      </c>
      <c r="DT299" s="53">
        <v>36.6</v>
      </c>
      <c r="DU299" s="55">
        <v>2.3199999999999998</v>
      </c>
      <c r="DV299" s="102">
        <v>38.6</v>
      </c>
      <c r="DW299" s="53">
        <v>86.7</v>
      </c>
      <c r="DX299" s="53">
        <v>84.24</v>
      </c>
      <c r="DY299" s="53">
        <v>45.346499999999999</v>
      </c>
      <c r="DZ299" s="63"/>
    </row>
    <row r="300" spans="1:130" s="101" customFormat="1" ht="14.25" customHeight="1">
      <c r="A300" s="45">
        <v>2025</v>
      </c>
      <c r="B300" s="46" t="s">
        <v>210</v>
      </c>
      <c r="C300" s="46">
        <v>2013</v>
      </c>
      <c r="D300" s="46" t="s">
        <v>211</v>
      </c>
      <c r="E300" s="46" t="s">
        <v>22</v>
      </c>
      <c r="F300" s="46"/>
      <c r="G300" s="48"/>
      <c r="H300" s="46"/>
      <c r="I300" s="46"/>
      <c r="J300" s="46"/>
      <c r="K300" s="49"/>
      <c r="L300" s="49"/>
      <c r="M300" s="49"/>
      <c r="N300" s="49"/>
      <c r="O300" s="49"/>
      <c r="P300" s="49"/>
      <c r="Q300" s="49"/>
      <c r="R300" s="49"/>
      <c r="S300" s="102"/>
      <c r="T300" s="49"/>
      <c r="U300" s="102"/>
      <c r="V300" s="49"/>
      <c r="W300" s="49"/>
      <c r="X300" s="102"/>
      <c r="Y300" s="51"/>
      <c r="Z300" s="49"/>
      <c r="AA300" s="49"/>
      <c r="AB300" s="49"/>
      <c r="AC300" s="46"/>
      <c r="AD300" s="46"/>
      <c r="AE300" s="46"/>
      <c r="AF300" s="46"/>
      <c r="AG300" s="103"/>
      <c r="AH300" s="52"/>
      <c r="AI300" s="52"/>
      <c r="AJ300" s="102"/>
      <c r="AK300" s="104"/>
      <c r="AL300" s="108"/>
      <c r="AM300" s="108"/>
      <c r="AN300" s="53"/>
      <c r="AO300" s="53"/>
      <c r="AP300" s="108"/>
      <c r="AQ300" s="108"/>
      <c r="AR300" s="108"/>
      <c r="AS300" s="108"/>
      <c r="AT300" s="108"/>
      <c r="AU300" s="108"/>
      <c r="AV300" s="108"/>
      <c r="AW300" s="108"/>
      <c r="AX300" s="108"/>
      <c r="AY300" s="108"/>
      <c r="AZ300" s="108"/>
      <c r="BA300" s="108"/>
      <c r="BB300" s="108"/>
      <c r="BC300" s="108"/>
      <c r="BD300" s="108"/>
      <c r="BE300" s="108"/>
      <c r="BF300" s="108"/>
      <c r="BG300" s="108"/>
      <c r="BH300" s="108"/>
      <c r="BI300" s="108"/>
      <c r="BJ300" s="108"/>
      <c r="BK300" s="108"/>
      <c r="BL300" s="108"/>
      <c r="BM300" s="108"/>
      <c r="BN300" s="102"/>
      <c r="BO300" s="108"/>
      <c r="BP300" s="108"/>
      <c r="BQ300" s="108"/>
      <c r="BR300" s="108"/>
      <c r="BS300" s="54"/>
      <c r="BT300" s="45"/>
      <c r="BU300" s="45"/>
      <c r="BV300" s="45"/>
      <c r="BW300" s="105"/>
      <c r="BX300" s="105"/>
      <c r="BY300" s="105"/>
      <c r="BZ300" s="105"/>
      <c r="CA300" s="45"/>
      <c r="CB300" s="105"/>
      <c r="CC300" s="46"/>
      <c r="CD300" s="46"/>
      <c r="CE300" s="71"/>
      <c r="CF300" s="46"/>
      <c r="CG300" s="46"/>
      <c r="CH300" s="46"/>
      <c r="CI300" s="56"/>
      <c r="CJ300" s="46"/>
      <c r="CK300" s="56"/>
      <c r="CL300" s="49"/>
      <c r="CM300" s="102"/>
      <c r="CN300" s="102"/>
      <c r="CO300" s="102"/>
      <c r="CP300" s="46"/>
      <c r="CQ300" s="46"/>
      <c r="CR300" s="46"/>
      <c r="CS300" s="46"/>
      <c r="CT300" s="46"/>
      <c r="CU300" s="46"/>
      <c r="CV300" s="46"/>
      <c r="CW300" s="46"/>
      <c r="CX300" s="49"/>
      <c r="CY300" s="49"/>
      <c r="CZ300" s="49"/>
      <c r="DA300" s="49"/>
      <c r="DB300" s="57"/>
      <c r="DC300" s="58"/>
      <c r="DD300" s="58"/>
      <c r="DE300" s="58"/>
      <c r="DF300" s="58"/>
      <c r="DG300" s="58"/>
      <c r="DH300" s="58"/>
      <c r="DI300" s="45"/>
      <c r="DJ300" s="59"/>
      <c r="DK300" s="60"/>
      <c r="DL300" s="58"/>
      <c r="DM300" s="58"/>
      <c r="DN300" s="58"/>
      <c r="DO300" s="58"/>
      <c r="DP300" s="66"/>
      <c r="DQ300" s="67"/>
      <c r="DR300" s="53"/>
      <c r="DS300" s="58"/>
      <c r="DT300" s="53"/>
      <c r="DU300" s="105"/>
      <c r="DV300" s="102"/>
      <c r="DW300" s="53"/>
      <c r="DX300" s="53"/>
      <c r="DY300" s="53"/>
      <c r="DZ300" s="63"/>
    </row>
    <row r="301" spans="1:130" s="5" customFormat="1" ht="14.25" customHeight="1">
      <c r="A301" s="45">
        <v>1190</v>
      </c>
      <c r="B301" s="46" t="s">
        <v>210</v>
      </c>
      <c r="C301" s="46">
        <v>2014</v>
      </c>
      <c r="D301" s="46" t="s">
        <v>211</v>
      </c>
      <c r="E301" s="46" t="s">
        <v>22</v>
      </c>
      <c r="F301" s="46">
        <v>4</v>
      </c>
      <c r="G301" s="48">
        <v>180000</v>
      </c>
      <c r="H301" s="46" t="s">
        <v>249</v>
      </c>
      <c r="I301" s="46">
        <v>1</v>
      </c>
      <c r="J301" s="46">
        <v>1</v>
      </c>
      <c r="K301" s="49" t="s">
        <v>214</v>
      </c>
      <c r="L301" s="49" t="s">
        <v>40</v>
      </c>
      <c r="M301" s="49" t="s">
        <v>35</v>
      </c>
      <c r="N301" s="49" t="s">
        <v>513</v>
      </c>
      <c r="O301" s="49">
        <v>2013</v>
      </c>
      <c r="P301" s="49" t="s">
        <v>34</v>
      </c>
      <c r="Q301" s="49" t="s">
        <v>35</v>
      </c>
      <c r="R301" s="49">
        <v>1</v>
      </c>
      <c r="S301" s="50">
        <f t="shared" ref="S301:S308" si="155">(R301/J301)*100</f>
        <v>100</v>
      </c>
      <c r="T301" s="49">
        <v>1</v>
      </c>
      <c r="U301" s="50">
        <f t="shared" ref="U301:U308" si="156">(T301/J301)*100</f>
        <v>100</v>
      </c>
      <c r="V301" s="49" t="s">
        <v>173</v>
      </c>
      <c r="W301" s="49">
        <v>1</v>
      </c>
      <c r="X301" s="50">
        <f t="shared" ref="X301:X308" si="157">(W301/J301)*100</f>
        <v>100</v>
      </c>
      <c r="Y301" s="51" t="str">
        <f t="shared" ref="Y301:Y308" si="158">IF(L301="M","No", IF(P301="n/a","No",IF(P301="white","No","Yes")))</f>
        <v>Yes</v>
      </c>
      <c r="Z301" s="49" t="s">
        <v>29</v>
      </c>
      <c r="AA301" s="49" t="s">
        <v>35</v>
      </c>
      <c r="AB301" s="45" t="s">
        <v>35</v>
      </c>
      <c r="AC301" s="46" t="s">
        <v>72</v>
      </c>
      <c r="AD301" s="46" t="s">
        <v>27</v>
      </c>
      <c r="AE301" s="46" t="s">
        <v>73</v>
      </c>
      <c r="AF301" s="46" t="s">
        <v>29</v>
      </c>
      <c r="AG301" s="103">
        <v>231214</v>
      </c>
      <c r="AH301" s="52">
        <v>151761</v>
      </c>
      <c r="AI301" s="52">
        <v>151761</v>
      </c>
      <c r="AJ301" s="102">
        <v>98.05</v>
      </c>
      <c r="AK301" s="104">
        <v>196.1</v>
      </c>
      <c r="AL301" s="108">
        <v>98.05</v>
      </c>
      <c r="AM301" s="108" t="s">
        <v>23</v>
      </c>
      <c r="AN301" s="53">
        <f t="shared" ref="AN301:AN308" si="159">AL301/(1/(I301+1))</f>
        <v>196.1</v>
      </c>
      <c r="AO301" s="53" t="s">
        <v>23</v>
      </c>
      <c r="AP301" s="108">
        <v>75609</v>
      </c>
      <c r="AQ301" s="108">
        <v>32.700874514519015</v>
      </c>
      <c r="AR301" s="108">
        <v>61</v>
      </c>
      <c r="AS301" s="108">
        <f>AR301/AI301 *100</f>
        <v>4.0194779950053043E-2</v>
      </c>
      <c r="AT301" s="108">
        <v>61</v>
      </c>
      <c r="AU301" s="108">
        <v>4.0194779950053043E-2</v>
      </c>
      <c r="AV301" s="102"/>
      <c r="AW301" s="102"/>
      <c r="AX301" s="108"/>
      <c r="AY301" s="108"/>
      <c r="AZ301" s="108"/>
      <c r="BA301" s="108"/>
      <c r="BB301" s="108"/>
      <c r="BC301" s="108"/>
      <c r="BD301" s="108"/>
      <c r="BE301" s="108"/>
      <c r="BF301" s="108"/>
      <c r="BG301" s="108"/>
      <c r="BH301" s="108"/>
      <c r="BI301" s="108"/>
      <c r="BJ301" s="102"/>
      <c r="BK301" s="102"/>
      <c r="BL301" s="102"/>
      <c r="BM301" s="102"/>
      <c r="BN301" s="102"/>
      <c r="BO301" s="108"/>
      <c r="BP301" s="108"/>
      <c r="BQ301" s="108"/>
      <c r="BR301" s="102"/>
      <c r="BS301" s="54" t="s">
        <v>23</v>
      </c>
      <c r="BT301" s="45" t="str">
        <f t="shared" ref="BT301:BT332" si="160">IF(J301=I301, "No", IF(AJ301/AO301&lt;2, "Yes", "No"))</f>
        <v>No</v>
      </c>
      <c r="BU301" s="45" t="str">
        <f t="shared" ref="BU301:BU332" si="161">IF(J301=I301, "No", IF(AJ301/AO301&lt;1.5, "Yes", "No"))</f>
        <v>No</v>
      </c>
      <c r="BV301" s="45" t="str">
        <f t="shared" ref="BV301:BV332" si="162">IF(J301=I301, "No", IF((ABS(AJ301-AO301))&lt;(5/I301), "Yes", "No"))</f>
        <v>No</v>
      </c>
      <c r="BW301" s="55">
        <f>(301723/(301723+ 47076))*100</f>
        <v>86.503401672596539</v>
      </c>
      <c r="BX301" s="55">
        <f>(301723/(301723+ 47076))*100</f>
        <v>86.503401672596539</v>
      </c>
      <c r="BY301" s="55">
        <v>84.573401672596532</v>
      </c>
      <c r="BZ301" s="55">
        <f t="shared" ref="BZ301:BZ307" si="163">BX301-(0.0386*100/2)</f>
        <v>84.573401672596532</v>
      </c>
      <c r="CA301" s="45">
        <v>2012</v>
      </c>
      <c r="CB301" s="55">
        <f t="shared" ref="CB301:CB307" si="164">((AI301/I301)/DB301)*100</f>
        <v>24.927072040997338</v>
      </c>
      <c r="CC301" s="46" t="s">
        <v>490</v>
      </c>
      <c r="CD301" s="46" t="s">
        <v>71</v>
      </c>
      <c r="CE301" s="71" t="s">
        <v>783</v>
      </c>
      <c r="CF301" s="46">
        <v>1</v>
      </c>
      <c r="CG301" s="46" t="str">
        <f t="shared" ref="CG301:CG317" si="165">IF(CD301="Primary (decisive)", "Yes", "No")</f>
        <v>No</v>
      </c>
      <c r="CH301" s="46" t="s">
        <v>29</v>
      </c>
      <c r="CI301" s="56">
        <v>3600</v>
      </c>
      <c r="CJ301" s="46" t="s">
        <v>180</v>
      </c>
      <c r="CK301" s="56">
        <f>CI301*2</f>
        <v>7200</v>
      </c>
      <c r="CL301" s="49" t="s">
        <v>29</v>
      </c>
      <c r="CM301" s="50">
        <v>0</v>
      </c>
      <c r="CN301" s="50"/>
      <c r="CO301" s="50"/>
      <c r="CP301" s="46" t="s">
        <v>23</v>
      </c>
      <c r="CQ301" s="46" t="s">
        <v>23</v>
      </c>
      <c r="CR301" s="46">
        <v>11</v>
      </c>
      <c r="CS301" s="46" t="s">
        <v>855</v>
      </c>
      <c r="CT301" s="46" t="s">
        <v>963</v>
      </c>
      <c r="CU301" s="46" t="s">
        <v>213</v>
      </c>
      <c r="CV301" s="46" t="s">
        <v>23</v>
      </c>
      <c r="CW301" s="46">
        <v>4</v>
      </c>
      <c r="CX301" s="49" t="s">
        <v>215</v>
      </c>
      <c r="CY301" s="49" t="s">
        <v>216</v>
      </c>
      <c r="CZ301" s="49">
        <v>1</v>
      </c>
      <c r="DA301" s="49">
        <v>1</v>
      </c>
      <c r="DB301" s="57">
        <v>608820</v>
      </c>
      <c r="DC301" s="58">
        <v>47.985447258631453</v>
      </c>
      <c r="DD301" s="58">
        <v>6.1003252192766331</v>
      </c>
      <c r="DE301" s="58">
        <v>11.456588154134227</v>
      </c>
      <c r="DF301" s="58">
        <v>31.097040176078316</v>
      </c>
      <c r="DG301" s="58">
        <v>3.3605991918793703</v>
      </c>
      <c r="DH301" s="58">
        <v>52.014552741368547</v>
      </c>
      <c r="DI301" s="45" t="s">
        <v>35</v>
      </c>
      <c r="DJ301" s="59" t="str">
        <f t="shared" ref="DJ301:DJ313" si="166">IF(DH301&lt;50,"N/A",IF(DD301&gt;50,"African American",IF(DE301&gt;50,"Latino",IF(DF301&gt;50,"Asian","No single majority group"))))</f>
        <v>No single majority group</v>
      </c>
      <c r="DK301" s="60">
        <v>608820</v>
      </c>
      <c r="DL301" s="58">
        <v>47.985447258631453</v>
      </c>
      <c r="DM301" s="58">
        <v>6.1003252192766331</v>
      </c>
      <c r="DN301" s="58">
        <v>11.456588154134227</v>
      </c>
      <c r="DO301" s="58">
        <v>52.014552741368547</v>
      </c>
      <c r="DP301" s="66">
        <v>48.3</v>
      </c>
      <c r="DQ301" s="67">
        <v>78387</v>
      </c>
      <c r="DR301" s="53">
        <v>13.3</v>
      </c>
      <c r="DS301" s="58">
        <v>78.7</v>
      </c>
      <c r="DT301" s="53">
        <v>36.6</v>
      </c>
      <c r="DU301" s="55">
        <v>2.3199999999999998</v>
      </c>
      <c r="DV301" s="102">
        <v>38.6</v>
      </c>
      <c r="DW301" s="53">
        <v>86.7</v>
      </c>
      <c r="DX301" s="53">
        <v>84.24</v>
      </c>
      <c r="DY301" s="53">
        <v>45.346499999999999</v>
      </c>
      <c r="DZ301" s="78" t="s">
        <v>931</v>
      </c>
    </row>
    <row r="302" spans="1:130" s="5" customFormat="1" ht="14.25" customHeight="1">
      <c r="A302" s="45">
        <v>1192</v>
      </c>
      <c r="B302" s="46" t="s">
        <v>210</v>
      </c>
      <c r="C302" s="46">
        <v>2014</v>
      </c>
      <c r="D302" s="46" t="s">
        <v>219</v>
      </c>
      <c r="E302" s="71" t="s">
        <v>92</v>
      </c>
      <c r="F302" s="46">
        <v>4</v>
      </c>
      <c r="G302" s="48">
        <v>108000</v>
      </c>
      <c r="H302" s="46" t="s">
        <v>249</v>
      </c>
      <c r="I302" s="46">
        <v>1</v>
      </c>
      <c r="J302" s="46">
        <v>2</v>
      </c>
      <c r="K302" s="49" t="s">
        <v>220</v>
      </c>
      <c r="L302" s="49" t="s">
        <v>30</v>
      </c>
      <c r="M302" s="49" t="s">
        <v>29</v>
      </c>
      <c r="N302" s="49" t="s">
        <v>513</v>
      </c>
      <c r="O302" s="49">
        <v>2010</v>
      </c>
      <c r="P302" s="49" t="s">
        <v>174</v>
      </c>
      <c r="Q302" s="49" t="s">
        <v>29</v>
      </c>
      <c r="R302" s="49">
        <v>0</v>
      </c>
      <c r="S302" s="50">
        <f t="shared" si="155"/>
        <v>0</v>
      </c>
      <c r="T302" s="49">
        <v>0</v>
      </c>
      <c r="U302" s="50">
        <f t="shared" si="156"/>
        <v>0</v>
      </c>
      <c r="V302" s="49">
        <v>0</v>
      </c>
      <c r="W302" s="49">
        <v>0</v>
      </c>
      <c r="X302" s="50">
        <f t="shared" si="157"/>
        <v>0</v>
      </c>
      <c r="Y302" s="51" t="str">
        <f t="shared" si="158"/>
        <v>No</v>
      </c>
      <c r="Z302" s="49" t="s">
        <v>29</v>
      </c>
      <c r="AA302" s="49" t="s">
        <v>29</v>
      </c>
      <c r="AB302" s="49" t="s">
        <v>29</v>
      </c>
      <c r="AC302" s="46" t="s">
        <v>72</v>
      </c>
      <c r="AD302" s="46" t="s">
        <v>27</v>
      </c>
      <c r="AE302" s="46" t="s">
        <v>73</v>
      </c>
      <c r="AF302" s="46" t="s">
        <v>29</v>
      </c>
      <c r="AG302" s="116">
        <v>23044</v>
      </c>
      <c r="AH302" s="52">
        <v>19777</v>
      </c>
      <c r="AI302" s="52">
        <v>19777</v>
      </c>
      <c r="AJ302" s="102">
        <v>78.61</v>
      </c>
      <c r="AK302" s="104">
        <v>157.22</v>
      </c>
      <c r="AL302" s="108">
        <v>78.61</v>
      </c>
      <c r="AM302" s="108">
        <v>78.599999999999994</v>
      </c>
      <c r="AN302" s="53">
        <f t="shared" si="159"/>
        <v>157.22</v>
      </c>
      <c r="AO302" s="53">
        <v>20.68</v>
      </c>
      <c r="AP302" s="115">
        <v>2489</v>
      </c>
      <c r="AQ302" s="108">
        <v>10.801076202048256</v>
      </c>
      <c r="AR302" s="99">
        <v>31</v>
      </c>
      <c r="AS302" s="108">
        <f>AR302/AI302 *100</f>
        <v>0.15674773727056682</v>
      </c>
      <c r="AT302" s="108">
        <v>31</v>
      </c>
      <c r="AU302" s="108">
        <v>0.15674773727056682</v>
      </c>
      <c r="AV302" s="102"/>
      <c r="AW302" s="102"/>
      <c r="AX302" s="108"/>
      <c r="AY302" s="108"/>
      <c r="AZ302" s="108"/>
      <c r="BA302" s="108"/>
      <c r="BB302" s="108"/>
      <c r="BC302" s="108"/>
      <c r="BD302" s="108"/>
      <c r="BE302" s="108"/>
      <c r="BF302" s="108"/>
      <c r="BG302" s="108"/>
      <c r="BH302" s="108"/>
      <c r="BI302" s="108"/>
      <c r="BJ302" s="102"/>
      <c r="BK302" s="102"/>
      <c r="BL302" s="102"/>
      <c r="BM302" s="102"/>
      <c r="BN302" s="102"/>
      <c r="BO302" s="108"/>
      <c r="BP302" s="108"/>
      <c r="BQ302" s="108"/>
      <c r="BR302" s="102"/>
      <c r="BS302" s="54" t="s">
        <v>29</v>
      </c>
      <c r="BT302" s="45" t="str">
        <f t="shared" si="160"/>
        <v>No</v>
      </c>
      <c r="BU302" s="45" t="str">
        <f t="shared" si="161"/>
        <v>No</v>
      </c>
      <c r="BV302" s="45" t="str">
        <f t="shared" si="162"/>
        <v>No</v>
      </c>
      <c r="BW302" s="55">
        <f t="shared" ref="BW302:BW307" si="167">(301723/(301723+ 47076))*100</f>
        <v>86.503401672596539</v>
      </c>
      <c r="BX302" s="55">
        <v>75.706362494767703</v>
      </c>
      <c r="BY302" s="55">
        <v>84.573401672596532</v>
      </c>
      <c r="BZ302" s="55">
        <f t="shared" si="163"/>
        <v>73.776362494767696</v>
      </c>
      <c r="CA302" s="45">
        <v>2012</v>
      </c>
      <c r="CB302" s="55">
        <f t="shared" si="164"/>
        <v>32.247387043649823</v>
      </c>
      <c r="CC302" s="46" t="s">
        <v>490</v>
      </c>
      <c r="CD302" s="46" t="s">
        <v>71</v>
      </c>
      <c r="CE302" s="71" t="s">
        <v>783</v>
      </c>
      <c r="CF302" s="46">
        <v>1</v>
      </c>
      <c r="CG302" s="46" t="str">
        <f t="shared" si="165"/>
        <v>No</v>
      </c>
      <c r="CH302" s="46" t="s">
        <v>35</v>
      </c>
      <c r="CI302" s="56">
        <v>500</v>
      </c>
      <c r="CJ302" s="46" t="s">
        <v>180</v>
      </c>
      <c r="CK302" s="79">
        <v>1000</v>
      </c>
      <c r="CL302" s="49" t="s">
        <v>35</v>
      </c>
      <c r="CM302" s="50">
        <v>0</v>
      </c>
      <c r="CN302" s="50"/>
      <c r="CO302" s="50"/>
      <c r="CP302" s="46" t="s">
        <v>23</v>
      </c>
      <c r="CQ302" s="46" t="s">
        <v>24</v>
      </c>
      <c r="CR302" s="46">
        <v>11</v>
      </c>
      <c r="CS302" s="46" t="s">
        <v>855</v>
      </c>
      <c r="CT302" s="46" t="s">
        <v>856</v>
      </c>
      <c r="CU302" s="46" t="s">
        <v>213</v>
      </c>
      <c r="CV302" s="46" t="s">
        <v>23</v>
      </c>
      <c r="CW302" s="46">
        <v>3</v>
      </c>
      <c r="CX302" s="49" t="s">
        <v>215</v>
      </c>
      <c r="CY302" s="49" t="s">
        <v>216</v>
      </c>
      <c r="CZ302" s="49">
        <v>1</v>
      </c>
      <c r="DA302" s="49">
        <v>1</v>
      </c>
      <c r="DB302" s="57">
        <v>61329</v>
      </c>
      <c r="DC302" s="58">
        <v>74.570000000000007</v>
      </c>
      <c r="DD302" s="58">
        <v>1.54</v>
      </c>
      <c r="DE302" s="58">
        <v>6.11</v>
      </c>
      <c r="DF302" s="58">
        <v>15.8</v>
      </c>
      <c r="DG302" s="58">
        <v>2</v>
      </c>
      <c r="DH302" s="58">
        <v>25.429999999999996</v>
      </c>
      <c r="DI302" s="45" t="s">
        <v>29</v>
      </c>
      <c r="DJ302" s="59" t="str">
        <f t="shared" si="166"/>
        <v>N/A</v>
      </c>
      <c r="DK302" s="60">
        <v>61329</v>
      </c>
      <c r="DL302" s="58">
        <v>74.570000000000007</v>
      </c>
      <c r="DM302" s="58">
        <v>1.54</v>
      </c>
      <c r="DN302" s="58">
        <v>6.11</v>
      </c>
      <c r="DO302" s="58">
        <v>25.429999999999996</v>
      </c>
      <c r="DP302" s="66">
        <v>48.3</v>
      </c>
      <c r="DQ302" s="67">
        <v>78387</v>
      </c>
      <c r="DR302" s="53">
        <v>13.3</v>
      </c>
      <c r="DS302" s="58">
        <v>78.7</v>
      </c>
      <c r="DT302" s="53">
        <v>36.6</v>
      </c>
      <c r="DU302" s="55">
        <v>2.3199999999999998</v>
      </c>
      <c r="DV302" s="102">
        <v>38.6</v>
      </c>
      <c r="DW302" s="53">
        <v>86.7</v>
      </c>
      <c r="DX302" s="53">
        <v>84.24</v>
      </c>
      <c r="DY302" s="53">
        <v>45.346499999999999</v>
      </c>
      <c r="DZ302" s="78"/>
    </row>
    <row r="303" spans="1:130" s="5" customFormat="1" ht="14.25" customHeight="1">
      <c r="A303" s="45">
        <v>1193</v>
      </c>
      <c r="B303" s="46" t="s">
        <v>210</v>
      </c>
      <c r="C303" s="46">
        <v>2014</v>
      </c>
      <c r="D303" s="46" t="s">
        <v>219</v>
      </c>
      <c r="E303" s="71" t="s">
        <v>80</v>
      </c>
      <c r="F303" s="46">
        <v>4</v>
      </c>
      <c r="G303" s="48">
        <v>108000</v>
      </c>
      <c r="H303" s="46" t="s">
        <v>249</v>
      </c>
      <c r="I303" s="46">
        <v>1</v>
      </c>
      <c r="J303" s="46">
        <v>1</v>
      </c>
      <c r="K303" s="49" t="s">
        <v>221</v>
      </c>
      <c r="L303" s="49" t="s">
        <v>40</v>
      </c>
      <c r="M303" s="49" t="s">
        <v>35</v>
      </c>
      <c r="N303" s="49" t="s">
        <v>513</v>
      </c>
      <c r="O303" s="49">
        <v>2013</v>
      </c>
      <c r="P303" s="49" t="s">
        <v>34</v>
      </c>
      <c r="Q303" s="49" t="s">
        <v>35</v>
      </c>
      <c r="R303" s="49">
        <v>1</v>
      </c>
      <c r="S303" s="50">
        <f t="shared" si="155"/>
        <v>100</v>
      </c>
      <c r="T303" s="49" t="str">
        <f>LEFT(V303, 1)</f>
        <v>1</v>
      </c>
      <c r="U303" s="50">
        <f t="shared" si="156"/>
        <v>100</v>
      </c>
      <c r="V303" s="49" t="s">
        <v>173</v>
      </c>
      <c r="W303" s="49">
        <v>1</v>
      </c>
      <c r="X303" s="50">
        <f t="shared" si="157"/>
        <v>100</v>
      </c>
      <c r="Y303" s="51" t="str">
        <f t="shared" si="158"/>
        <v>Yes</v>
      </c>
      <c r="Z303" s="49" t="s">
        <v>29</v>
      </c>
      <c r="AA303" s="49" t="s">
        <v>35</v>
      </c>
      <c r="AB303" s="45" t="s">
        <v>35</v>
      </c>
      <c r="AC303" s="46" t="s">
        <v>72</v>
      </c>
      <c r="AD303" s="46" t="s">
        <v>27</v>
      </c>
      <c r="AE303" s="46" t="s">
        <v>73</v>
      </c>
      <c r="AF303" s="46" t="s">
        <v>29</v>
      </c>
      <c r="AG303" s="103">
        <v>19560</v>
      </c>
      <c r="AH303" s="52">
        <v>15492</v>
      </c>
      <c r="AI303" s="52">
        <v>15492</v>
      </c>
      <c r="AJ303" s="102">
        <v>96.7</v>
      </c>
      <c r="AK303" s="104">
        <v>193.4</v>
      </c>
      <c r="AL303" s="108">
        <v>96.7</v>
      </c>
      <c r="AM303" s="108" t="s">
        <v>23</v>
      </c>
      <c r="AN303" s="53">
        <f t="shared" si="159"/>
        <v>193.4</v>
      </c>
      <c r="AO303" s="53" t="s">
        <v>23</v>
      </c>
      <c r="AP303" s="108">
        <v>3529</v>
      </c>
      <c r="AQ303" s="108">
        <v>18.041922290388548</v>
      </c>
      <c r="AR303" s="108">
        <v>8</v>
      </c>
      <c r="AS303" s="108">
        <f>AR303/AI303 *100</f>
        <v>5.1639555899819257E-2</v>
      </c>
      <c r="AT303" s="108">
        <v>8</v>
      </c>
      <c r="AU303" s="108">
        <v>5.1639555899819257E-2</v>
      </c>
      <c r="AV303" s="108"/>
      <c r="AW303" s="108"/>
      <c r="AX303" s="108"/>
      <c r="AY303" s="108"/>
      <c r="AZ303" s="108"/>
      <c r="BA303" s="108"/>
      <c r="BB303" s="108"/>
      <c r="BC303" s="108"/>
      <c r="BD303" s="108"/>
      <c r="BE303" s="108"/>
      <c r="BF303" s="108"/>
      <c r="BG303" s="108"/>
      <c r="BH303" s="108"/>
      <c r="BI303" s="108"/>
      <c r="BJ303" s="108"/>
      <c r="BK303" s="108"/>
      <c r="BL303" s="108"/>
      <c r="BM303" s="108"/>
      <c r="BN303" s="102"/>
      <c r="BO303" s="108"/>
      <c r="BP303" s="108"/>
      <c r="BQ303" s="108"/>
      <c r="BR303" s="108"/>
      <c r="BS303" s="54" t="s">
        <v>23</v>
      </c>
      <c r="BT303" s="45" t="str">
        <f t="shared" si="160"/>
        <v>No</v>
      </c>
      <c r="BU303" s="45" t="str">
        <f t="shared" si="161"/>
        <v>No</v>
      </c>
      <c r="BV303" s="45" t="str">
        <f t="shared" si="162"/>
        <v>No</v>
      </c>
      <c r="BW303" s="55">
        <f t="shared" si="167"/>
        <v>86.503401672596539</v>
      </c>
      <c r="BX303" s="55">
        <v>81.359853586104506</v>
      </c>
      <c r="BY303" s="55">
        <v>84.573401672596532</v>
      </c>
      <c r="BZ303" s="55">
        <f t="shared" si="163"/>
        <v>79.4298535861045</v>
      </c>
      <c r="CA303" s="45">
        <v>2012</v>
      </c>
      <c r="CB303" s="55">
        <f t="shared" si="164"/>
        <v>26.975448371931048</v>
      </c>
      <c r="CC303" s="46" t="s">
        <v>490</v>
      </c>
      <c r="CD303" s="46" t="s">
        <v>71</v>
      </c>
      <c r="CE303" s="71" t="s">
        <v>783</v>
      </c>
      <c r="CF303" s="46">
        <v>1</v>
      </c>
      <c r="CG303" s="46" t="str">
        <f t="shared" si="165"/>
        <v>No</v>
      </c>
      <c r="CH303" s="46" t="s">
        <v>35</v>
      </c>
      <c r="CI303" s="56">
        <v>500</v>
      </c>
      <c r="CJ303" s="46" t="s">
        <v>180</v>
      </c>
      <c r="CK303" s="79">
        <v>1000</v>
      </c>
      <c r="CL303" s="49" t="s">
        <v>35</v>
      </c>
      <c r="CM303" s="50">
        <v>0</v>
      </c>
      <c r="CN303" s="50"/>
      <c r="CO303" s="50"/>
      <c r="CP303" s="46" t="s">
        <v>23</v>
      </c>
      <c r="CQ303" s="46" t="s">
        <v>24</v>
      </c>
      <c r="CR303" s="46">
        <v>11</v>
      </c>
      <c r="CS303" s="46" t="s">
        <v>855</v>
      </c>
      <c r="CT303" s="46" t="s">
        <v>856</v>
      </c>
      <c r="CU303" s="46" t="s">
        <v>213</v>
      </c>
      <c r="CV303" s="46" t="s">
        <v>23</v>
      </c>
      <c r="CW303" s="46">
        <v>5</v>
      </c>
      <c r="CX303" s="49" t="s">
        <v>215</v>
      </c>
      <c r="CY303" s="49" t="s">
        <v>216</v>
      </c>
      <c r="CZ303" s="49">
        <v>1</v>
      </c>
      <c r="DA303" s="49">
        <v>1</v>
      </c>
      <c r="DB303" s="57">
        <v>57430</v>
      </c>
      <c r="DC303" s="58">
        <v>35.64</v>
      </c>
      <c r="DD303" s="58">
        <v>0.82000000000000006</v>
      </c>
      <c r="DE303" s="58">
        <v>6.12</v>
      </c>
      <c r="DF303" s="58">
        <v>54.83</v>
      </c>
      <c r="DG303" s="58">
        <v>2.6</v>
      </c>
      <c r="DH303" s="58">
        <v>64.36</v>
      </c>
      <c r="DI303" s="45" t="s">
        <v>35</v>
      </c>
      <c r="DJ303" s="59" t="str">
        <f t="shared" si="166"/>
        <v>Asian</v>
      </c>
      <c r="DK303" s="60">
        <v>57430</v>
      </c>
      <c r="DL303" s="58">
        <v>35.64</v>
      </c>
      <c r="DM303" s="58">
        <v>0.82000000000000006</v>
      </c>
      <c r="DN303" s="58">
        <v>6.12</v>
      </c>
      <c r="DO303" s="58">
        <v>64.36</v>
      </c>
      <c r="DP303" s="66">
        <v>48.3</v>
      </c>
      <c r="DQ303" s="67">
        <v>78387</v>
      </c>
      <c r="DR303" s="53">
        <v>13.3</v>
      </c>
      <c r="DS303" s="58">
        <v>78.7</v>
      </c>
      <c r="DT303" s="53">
        <v>36.6</v>
      </c>
      <c r="DU303" s="55">
        <v>2.3199999999999998</v>
      </c>
      <c r="DV303" s="102">
        <v>38.6</v>
      </c>
      <c r="DW303" s="53">
        <v>86.7</v>
      </c>
      <c r="DX303" s="53">
        <v>84.24</v>
      </c>
      <c r="DY303" s="53">
        <v>45.346499999999999</v>
      </c>
      <c r="DZ303" s="63"/>
    </row>
    <row r="304" spans="1:130" s="5" customFormat="1" ht="14.25" customHeight="1">
      <c r="A304" s="45">
        <v>1194</v>
      </c>
      <c r="B304" s="46" t="s">
        <v>210</v>
      </c>
      <c r="C304" s="46">
        <v>2014</v>
      </c>
      <c r="D304" s="46" t="s">
        <v>219</v>
      </c>
      <c r="E304" s="71" t="s">
        <v>101</v>
      </c>
      <c r="F304" s="46">
        <v>4</v>
      </c>
      <c r="G304" s="48">
        <v>108000</v>
      </c>
      <c r="H304" s="46" t="s">
        <v>249</v>
      </c>
      <c r="I304" s="46">
        <v>1</v>
      </c>
      <c r="J304" s="46">
        <v>5</v>
      </c>
      <c r="K304" s="49" t="s">
        <v>222</v>
      </c>
      <c r="L304" s="49" t="s">
        <v>40</v>
      </c>
      <c r="M304" s="49" t="s">
        <v>35</v>
      </c>
      <c r="N304" s="49" t="s">
        <v>513</v>
      </c>
      <c r="O304" s="49">
        <v>2010</v>
      </c>
      <c r="P304" s="49" t="s">
        <v>34</v>
      </c>
      <c r="Q304" s="49" t="s">
        <v>35</v>
      </c>
      <c r="R304" s="49">
        <v>1</v>
      </c>
      <c r="S304" s="50">
        <f t="shared" si="155"/>
        <v>20</v>
      </c>
      <c r="T304" s="49" t="str">
        <f>LEFT(V304, 1)</f>
        <v>1</v>
      </c>
      <c r="U304" s="50">
        <f t="shared" si="156"/>
        <v>20</v>
      </c>
      <c r="V304" s="49" t="s">
        <v>173</v>
      </c>
      <c r="W304" s="49">
        <v>1</v>
      </c>
      <c r="X304" s="50">
        <f t="shared" si="157"/>
        <v>20</v>
      </c>
      <c r="Y304" s="51" t="str">
        <f t="shared" si="158"/>
        <v>Yes</v>
      </c>
      <c r="Z304" s="49" t="s">
        <v>29</v>
      </c>
      <c r="AA304" s="49" t="s">
        <v>35</v>
      </c>
      <c r="AB304" s="45" t="s">
        <v>35</v>
      </c>
      <c r="AC304" s="46" t="s">
        <v>72</v>
      </c>
      <c r="AD304" s="46" t="s">
        <v>27</v>
      </c>
      <c r="AE304" s="46" t="s">
        <v>73</v>
      </c>
      <c r="AF304" s="46" t="s">
        <v>29</v>
      </c>
      <c r="AG304" s="103">
        <v>15047</v>
      </c>
      <c r="AH304" s="52">
        <v>13092</v>
      </c>
      <c r="AI304" s="52">
        <v>13092</v>
      </c>
      <c r="AJ304" s="102">
        <v>67.42</v>
      </c>
      <c r="AK304" s="104">
        <v>134.84</v>
      </c>
      <c r="AL304" s="108">
        <v>67.42</v>
      </c>
      <c r="AM304" s="108">
        <v>67.400000000000006</v>
      </c>
      <c r="AN304" s="53">
        <f t="shared" si="159"/>
        <v>134.84</v>
      </c>
      <c r="AO304" s="53">
        <v>11.21</v>
      </c>
      <c r="AP304" s="108">
        <v>1520</v>
      </c>
      <c r="AQ304" s="108">
        <v>10.101681398285372</v>
      </c>
      <c r="AR304" s="108">
        <v>79</v>
      </c>
      <c r="AS304" s="108">
        <f>AR304/AI304 *100</f>
        <v>0.6034219370608005</v>
      </c>
      <c r="AT304" s="108">
        <v>79</v>
      </c>
      <c r="AU304" s="108">
        <v>0.6034219370608005</v>
      </c>
      <c r="AV304" s="108"/>
      <c r="AW304" s="108"/>
      <c r="AX304" s="108"/>
      <c r="AY304" s="108"/>
      <c r="AZ304" s="108"/>
      <c r="BA304" s="108"/>
      <c r="BB304" s="108"/>
      <c r="BC304" s="108"/>
      <c r="BD304" s="108"/>
      <c r="BE304" s="108"/>
      <c r="BF304" s="108"/>
      <c r="BG304" s="108"/>
      <c r="BH304" s="108"/>
      <c r="BI304" s="108"/>
      <c r="BJ304" s="108"/>
      <c r="BK304" s="108"/>
      <c r="BL304" s="108"/>
      <c r="BM304" s="108"/>
      <c r="BN304" s="102"/>
      <c r="BO304" s="108"/>
      <c r="BP304" s="108"/>
      <c r="BQ304" s="108"/>
      <c r="BR304" s="108"/>
      <c r="BS304" s="54" t="s">
        <v>29</v>
      </c>
      <c r="BT304" s="45" t="str">
        <f t="shared" si="160"/>
        <v>No</v>
      </c>
      <c r="BU304" s="45" t="str">
        <f t="shared" si="161"/>
        <v>No</v>
      </c>
      <c r="BV304" s="45" t="str">
        <f t="shared" si="162"/>
        <v>No</v>
      </c>
      <c r="BW304" s="55">
        <f t="shared" si="167"/>
        <v>86.503401672596539</v>
      </c>
      <c r="BX304" s="55">
        <v>87.475341028331599</v>
      </c>
      <c r="BY304" s="55">
        <v>84.573401672596532</v>
      </c>
      <c r="BZ304" s="55">
        <f t="shared" si="163"/>
        <v>85.545341028331592</v>
      </c>
      <c r="CA304" s="45">
        <v>2012</v>
      </c>
      <c r="CB304" s="55">
        <f t="shared" si="164"/>
        <v>23.492678725236864</v>
      </c>
      <c r="CC304" s="46" t="s">
        <v>490</v>
      </c>
      <c r="CD304" s="46" t="s">
        <v>71</v>
      </c>
      <c r="CE304" s="71" t="s">
        <v>783</v>
      </c>
      <c r="CF304" s="46">
        <v>1</v>
      </c>
      <c r="CG304" s="46" t="str">
        <f t="shared" si="165"/>
        <v>No</v>
      </c>
      <c r="CH304" s="46" t="s">
        <v>35</v>
      </c>
      <c r="CI304" s="56">
        <v>500</v>
      </c>
      <c r="CJ304" s="46" t="s">
        <v>180</v>
      </c>
      <c r="CK304" s="79">
        <v>1000</v>
      </c>
      <c r="CL304" s="49" t="s">
        <v>35</v>
      </c>
      <c r="CM304" s="50">
        <v>0</v>
      </c>
      <c r="CN304" s="50"/>
      <c r="CO304" s="50"/>
      <c r="CP304" s="46" t="s">
        <v>23</v>
      </c>
      <c r="CQ304" s="46" t="s">
        <v>24</v>
      </c>
      <c r="CR304" s="46">
        <v>11</v>
      </c>
      <c r="CS304" s="46" t="s">
        <v>855</v>
      </c>
      <c r="CT304" s="46" t="s">
        <v>856</v>
      </c>
      <c r="CU304" s="46" t="s">
        <v>213</v>
      </c>
      <c r="CV304" s="46" t="s">
        <v>23</v>
      </c>
      <c r="CW304" s="46">
        <v>3</v>
      </c>
      <c r="CX304" s="49" t="s">
        <v>215</v>
      </c>
      <c r="CY304" s="49" t="s">
        <v>216</v>
      </c>
      <c r="CZ304" s="49">
        <v>1</v>
      </c>
      <c r="DA304" s="49">
        <v>1</v>
      </c>
      <c r="DB304" s="57">
        <v>55728</v>
      </c>
      <c r="DC304" s="58">
        <v>46.54</v>
      </c>
      <c r="DD304" s="58">
        <v>10.190000000000001</v>
      </c>
      <c r="DE304" s="58">
        <v>11.15</v>
      </c>
      <c r="DF304" s="58">
        <v>28.349999999999998</v>
      </c>
      <c r="DG304" s="58">
        <v>3.6999999999999997</v>
      </c>
      <c r="DH304" s="58">
        <v>53.459999999999994</v>
      </c>
      <c r="DI304" s="45" t="s">
        <v>35</v>
      </c>
      <c r="DJ304" s="59" t="str">
        <f t="shared" si="166"/>
        <v>No single majority group</v>
      </c>
      <c r="DK304" s="60">
        <v>55728</v>
      </c>
      <c r="DL304" s="58">
        <v>46.54</v>
      </c>
      <c r="DM304" s="58">
        <v>10.190000000000001</v>
      </c>
      <c r="DN304" s="58">
        <v>11.15</v>
      </c>
      <c r="DO304" s="58">
        <v>53.459999999999994</v>
      </c>
      <c r="DP304" s="66">
        <v>48.3</v>
      </c>
      <c r="DQ304" s="67">
        <v>78387</v>
      </c>
      <c r="DR304" s="53">
        <v>13.3</v>
      </c>
      <c r="DS304" s="58">
        <v>78.7</v>
      </c>
      <c r="DT304" s="53">
        <v>36.6</v>
      </c>
      <c r="DU304" s="55">
        <v>2.3199999999999998</v>
      </c>
      <c r="DV304" s="102">
        <v>38.6</v>
      </c>
      <c r="DW304" s="53">
        <v>86.7</v>
      </c>
      <c r="DX304" s="53">
        <v>84.24</v>
      </c>
      <c r="DY304" s="53">
        <v>45.346499999999999</v>
      </c>
      <c r="DZ304" s="63"/>
    </row>
    <row r="305" spans="1:130" s="5" customFormat="1" ht="14.25" customHeight="1">
      <c r="A305" s="45">
        <v>1195</v>
      </c>
      <c r="B305" s="46" t="s">
        <v>210</v>
      </c>
      <c r="C305" s="46">
        <v>2014</v>
      </c>
      <c r="D305" s="46" t="s">
        <v>219</v>
      </c>
      <c r="E305" s="71" t="s">
        <v>86</v>
      </c>
      <c r="F305" s="46">
        <v>4</v>
      </c>
      <c r="G305" s="48">
        <v>108000</v>
      </c>
      <c r="H305" s="46" t="s">
        <v>249</v>
      </c>
      <c r="I305" s="46">
        <v>1</v>
      </c>
      <c r="J305" s="46">
        <v>5</v>
      </c>
      <c r="K305" s="49" t="s">
        <v>223</v>
      </c>
      <c r="L305" s="49" t="s">
        <v>30</v>
      </c>
      <c r="M305" s="49" t="s">
        <v>29</v>
      </c>
      <c r="N305" s="49" t="s">
        <v>513</v>
      </c>
      <c r="O305" s="49">
        <v>2010</v>
      </c>
      <c r="P305" s="49" t="s">
        <v>174</v>
      </c>
      <c r="Q305" s="49" t="s">
        <v>29</v>
      </c>
      <c r="R305" s="49">
        <v>0</v>
      </c>
      <c r="S305" s="50">
        <f t="shared" si="155"/>
        <v>0</v>
      </c>
      <c r="T305" s="49" t="str">
        <f>LEFT(V305,2)</f>
        <v>0</v>
      </c>
      <c r="U305" s="50">
        <f t="shared" si="156"/>
        <v>0</v>
      </c>
      <c r="V305" s="49">
        <v>0</v>
      </c>
      <c r="W305" s="49">
        <v>0</v>
      </c>
      <c r="X305" s="50">
        <f t="shared" si="157"/>
        <v>0</v>
      </c>
      <c r="Y305" s="51" t="str">
        <f t="shared" si="158"/>
        <v>No</v>
      </c>
      <c r="Z305" s="49" t="s">
        <v>29</v>
      </c>
      <c r="AA305" s="49" t="s">
        <v>29</v>
      </c>
      <c r="AB305" s="49" t="s">
        <v>29</v>
      </c>
      <c r="AC305" s="46" t="s">
        <v>72</v>
      </c>
      <c r="AD305" s="46" t="s">
        <v>27</v>
      </c>
      <c r="AE305" s="46" t="s">
        <v>73</v>
      </c>
      <c r="AF305" s="46" t="s">
        <v>29</v>
      </c>
      <c r="AG305" s="103">
        <v>33413</v>
      </c>
      <c r="AH305" s="52">
        <v>29424</v>
      </c>
      <c r="AI305" s="52">
        <v>29424</v>
      </c>
      <c r="AJ305" s="102">
        <v>77.67</v>
      </c>
      <c r="AK305" s="104">
        <v>155.34</v>
      </c>
      <c r="AL305" s="108">
        <v>77.67</v>
      </c>
      <c r="AM305" s="108">
        <v>77.7</v>
      </c>
      <c r="AN305" s="53">
        <f t="shared" si="159"/>
        <v>155.34</v>
      </c>
      <c r="AO305" s="53">
        <v>6.81</v>
      </c>
      <c r="AP305" s="108">
        <v>3229</v>
      </c>
      <c r="AQ305" s="108">
        <v>9.6639032711818764</v>
      </c>
      <c r="AR305" s="108">
        <v>72</v>
      </c>
      <c r="AS305" s="108">
        <f>AR305/AI305 *100</f>
        <v>0.24469820554649263</v>
      </c>
      <c r="AT305" s="108">
        <v>72</v>
      </c>
      <c r="AU305" s="108">
        <v>0.24469820554649263</v>
      </c>
      <c r="AV305" s="108"/>
      <c r="AW305" s="108"/>
      <c r="AX305" s="108"/>
      <c r="AY305" s="108"/>
      <c r="AZ305" s="108"/>
      <c r="BA305" s="108"/>
      <c r="BB305" s="108"/>
      <c r="BC305" s="108"/>
      <c r="BD305" s="108"/>
      <c r="BE305" s="108"/>
      <c r="BF305" s="108"/>
      <c r="BG305" s="108"/>
      <c r="BH305" s="108"/>
      <c r="BI305" s="108"/>
      <c r="BJ305" s="108"/>
      <c r="BK305" s="108"/>
      <c r="BL305" s="108"/>
      <c r="BM305" s="108"/>
      <c r="BN305" s="102"/>
      <c r="BO305" s="108"/>
      <c r="BP305" s="108"/>
      <c r="BQ305" s="108"/>
      <c r="BR305" s="108"/>
      <c r="BS305" s="54" t="s">
        <v>29</v>
      </c>
      <c r="BT305" s="45" t="str">
        <f t="shared" si="160"/>
        <v>No</v>
      </c>
      <c r="BU305" s="45" t="str">
        <f t="shared" si="161"/>
        <v>No</v>
      </c>
      <c r="BV305" s="45" t="str">
        <f t="shared" si="162"/>
        <v>No</v>
      </c>
      <c r="BW305" s="55">
        <f t="shared" si="167"/>
        <v>86.503401672596539</v>
      </c>
      <c r="BX305" s="55">
        <v>93.59398688902651</v>
      </c>
      <c r="BY305" s="55">
        <v>84.573401672596532</v>
      </c>
      <c r="BZ305" s="55">
        <f t="shared" si="163"/>
        <v>91.663986889026503</v>
      </c>
      <c r="CA305" s="45">
        <v>2012</v>
      </c>
      <c r="CB305" s="55">
        <f t="shared" si="164"/>
        <v>48.161848954070777</v>
      </c>
      <c r="CC305" s="46" t="s">
        <v>490</v>
      </c>
      <c r="CD305" s="46" t="s">
        <v>71</v>
      </c>
      <c r="CE305" s="71" t="s">
        <v>783</v>
      </c>
      <c r="CF305" s="46">
        <v>1</v>
      </c>
      <c r="CG305" s="46" t="str">
        <f t="shared" si="165"/>
        <v>No</v>
      </c>
      <c r="CH305" s="46" t="s">
        <v>35</v>
      </c>
      <c r="CI305" s="56">
        <v>500</v>
      </c>
      <c r="CJ305" s="46" t="s">
        <v>180</v>
      </c>
      <c r="CK305" s="79">
        <v>1000</v>
      </c>
      <c r="CL305" s="49" t="s">
        <v>35</v>
      </c>
      <c r="CM305" s="50">
        <v>0</v>
      </c>
      <c r="CN305" s="50"/>
      <c r="CO305" s="50"/>
      <c r="CP305" s="46" t="s">
        <v>23</v>
      </c>
      <c r="CQ305" s="46" t="s">
        <v>24</v>
      </c>
      <c r="CR305" s="46">
        <v>11</v>
      </c>
      <c r="CS305" s="46" t="s">
        <v>855</v>
      </c>
      <c r="CT305" s="46" t="s">
        <v>856</v>
      </c>
      <c r="CU305" s="46" t="s">
        <v>213</v>
      </c>
      <c r="CV305" s="46" t="s">
        <v>23</v>
      </c>
      <c r="CW305" s="46">
        <v>3</v>
      </c>
      <c r="CX305" s="49" t="s">
        <v>215</v>
      </c>
      <c r="CY305" s="49" t="s">
        <v>216</v>
      </c>
      <c r="CZ305" s="49">
        <v>1</v>
      </c>
      <c r="DA305" s="49">
        <v>1</v>
      </c>
      <c r="DB305" s="57">
        <v>61094</v>
      </c>
      <c r="DC305" s="58">
        <v>70.23</v>
      </c>
      <c r="DD305" s="58">
        <v>3.08</v>
      </c>
      <c r="DE305" s="58">
        <v>11.74</v>
      </c>
      <c r="DF305" s="58">
        <v>11.78</v>
      </c>
      <c r="DG305" s="58">
        <v>3.2</v>
      </c>
      <c r="DH305" s="58">
        <v>29.769999999999996</v>
      </c>
      <c r="DI305" s="45" t="s">
        <v>29</v>
      </c>
      <c r="DJ305" s="59" t="str">
        <f t="shared" si="166"/>
        <v>N/A</v>
      </c>
      <c r="DK305" s="60">
        <v>61094</v>
      </c>
      <c r="DL305" s="58">
        <v>70.23</v>
      </c>
      <c r="DM305" s="58">
        <v>3.08</v>
      </c>
      <c r="DN305" s="58">
        <v>11.74</v>
      </c>
      <c r="DO305" s="58">
        <v>29.769999999999996</v>
      </c>
      <c r="DP305" s="66">
        <v>48.3</v>
      </c>
      <c r="DQ305" s="67">
        <v>78387</v>
      </c>
      <c r="DR305" s="53">
        <v>13.3</v>
      </c>
      <c r="DS305" s="58">
        <v>78.7</v>
      </c>
      <c r="DT305" s="53">
        <v>36.6</v>
      </c>
      <c r="DU305" s="55">
        <v>2.3199999999999998</v>
      </c>
      <c r="DV305" s="102">
        <v>38.6</v>
      </c>
      <c r="DW305" s="53">
        <v>86.7</v>
      </c>
      <c r="DX305" s="53">
        <v>84.24</v>
      </c>
      <c r="DY305" s="53">
        <v>45.346499999999999</v>
      </c>
      <c r="DZ305" s="63"/>
    </row>
    <row r="306" spans="1:130" s="5" customFormat="1" ht="14.25" customHeight="1">
      <c r="A306" s="45">
        <v>1196</v>
      </c>
      <c r="B306" s="46" t="s">
        <v>210</v>
      </c>
      <c r="C306" s="46">
        <v>2014</v>
      </c>
      <c r="D306" s="46" t="s">
        <v>219</v>
      </c>
      <c r="E306" s="71" t="s">
        <v>224</v>
      </c>
      <c r="F306" s="46">
        <v>4</v>
      </c>
      <c r="G306" s="48">
        <v>108000</v>
      </c>
      <c r="H306" s="46" t="s">
        <v>249</v>
      </c>
      <c r="I306" s="46">
        <v>1</v>
      </c>
      <c r="J306" s="46">
        <v>5</v>
      </c>
      <c r="K306" s="49" t="s">
        <v>226</v>
      </c>
      <c r="L306" s="49" t="s">
        <v>40</v>
      </c>
      <c r="M306" s="49" t="s">
        <v>35</v>
      </c>
      <c r="N306" s="49" t="s">
        <v>513</v>
      </c>
      <c r="O306" s="49">
        <v>2010</v>
      </c>
      <c r="P306" s="49" t="s">
        <v>201</v>
      </c>
      <c r="Q306" s="49" t="s">
        <v>35</v>
      </c>
      <c r="R306" s="49">
        <v>2</v>
      </c>
      <c r="S306" s="50">
        <f t="shared" si="155"/>
        <v>40</v>
      </c>
      <c r="T306" s="49">
        <v>4</v>
      </c>
      <c r="U306" s="50">
        <f t="shared" si="156"/>
        <v>80</v>
      </c>
      <c r="V306" s="49" t="s">
        <v>863</v>
      </c>
      <c r="W306" s="49">
        <v>2</v>
      </c>
      <c r="X306" s="50">
        <f t="shared" si="157"/>
        <v>40</v>
      </c>
      <c r="Y306" s="51" t="str">
        <f t="shared" si="158"/>
        <v>Yes</v>
      </c>
      <c r="Z306" s="49" t="s">
        <v>29</v>
      </c>
      <c r="AA306" s="49" t="s">
        <v>35</v>
      </c>
      <c r="AB306" s="45" t="s">
        <v>35</v>
      </c>
      <c r="AC306" s="46" t="s">
        <v>225</v>
      </c>
      <c r="AD306" s="46" t="s">
        <v>27</v>
      </c>
      <c r="AE306" s="46" t="s">
        <v>73</v>
      </c>
      <c r="AF306" s="46" t="s">
        <v>29</v>
      </c>
      <c r="AG306" s="103">
        <v>16342</v>
      </c>
      <c r="AH306" s="52">
        <v>15360</v>
      </c>
      <c r="AI306" s="52">
        <v>15360</v>
      </c>
      <c r="AJ306" s="102">
        <v>46.49</v>
      </c>
      <c r="AK306" s="104">
        <v>92.98</v>
      </c>
      <c r="AL306" s="105">
        <v>51.72</v>
      </c>
      <c r="AM306" s="105">
        <v>64.099999999999994</v>
      </c>
      <c r="AN306" s="53">
        <f t="shared" si="159"/>
        <v>103.44</v>
      </c>
      <c r="AO306" s="53">
        <v>24.01</v>
      </c>
      <c r="AP306" s="105">
        <v>825</v>
      </c>
      <c r="AQ306" s="105">
        <v>5</v>
      </c>
      <c r="AR306" s="105">
        <v>145</v>
      </c>
      <c r="AS306" s="105">
        <v>0.9</v>
      </c>
      <c r="AT306" s="105">
        <v>111</v>
      </c>
      <c r="AU306" s="105">
        <v>0.7</v>
      </c>
      <c r="AV306" s="108">
        <v>11</v>
      </c>
      <c r="AW306" s="108">
        <v>0.1</v>
      </c>
      <c r="AX306" s="105">
        <v>2468</v>
      </c>
      <c r="AY306" s="105">
        <v>15.9</v>
      </c>
      <c r="AZ306" s="105"/>
      <c r="BA306" s="105"/>
      <c r="BB306" s="105"/>
      <c r="BC306" s="105"/>
      <c r="BD306" s="105">
        <v>146</v>
      </c>
      <c r="BE306" s="105">
        <v>0.9</v>
      </c>
      <c r="BF306" s="105">
        <v>2734</v>
      </c>
      <c r="BG306" s="105">
        <v>17.600000000000001</v>
      </c>
      <c r="BH306" s="105">
        <v>481</v>
      </c>
      <c r="BI306" s="105">
        <v>3.2</v>
      </c>
      <c r="BJ306" s="108">
        <v>0</v>
      </c>
      <c r="BK306" s="108">
        <v>0</v>
      </c>
      <c r="BL306" s="108">
        <v>470</v>
      </c>
      <c r="BM306" s="108">
        <v>3.1</v>
      </c>
      <c r="BN306" s="102"/>
      <c r="BO306" s="105"/>
      <c r="BP306" s="105"/>
      <c r="BQ306" s="105"/>
      <c r="BR306" s="108" t="s">
        <v>967</v>
      </c>
      <c r="BS306" s="54" t="s">
        <v>29</v>
      </c>
      <c r="BT306" s="45" t="str">
        <f t="shared" si="160"/>
        <v>Yes</v>
      </c>
      <c r="BU306" s="45" t="str">
        <f t="shared" si="161"/>
        <v>No</v>
      </c>
      <c r="BV306" s="45" t="str">
        <f t="shared" si="162"/>
        <v>No</v>
      </c>
      <c r="BW306" s="55">
        <f t="shared" si="167"/>
        <v>86.503401672596539</v>
      </c>
      <c r="BX306" s="55">
        <v>91.729441305712498</v>
      </c>
      <c r="BY306" s="55">
        <v>84.573401672596532</v>
      </c>
      <c r="BZ306" s="55">
        <f t="shared" si="163"/>
        <v>89.799441305712492</v>
      </c>
      <c r="CA306" s="45">
        <v>2012</v>
      </c>
      <c r="CB306" s="55">
        <f t="shared" si="164"/>
        <v>26.809557886652819</v>
      </c>
      <c r="CC306" s="46" t="s">
        <v>490</v>
      </c>
      <c r="CD306" s="46" t="s">
        <v>71</v>
      </c>
      <c r="CE306" s="71" t="s">
        <v>783</v>
      </c>
      <c r="CF306" s="46">
        <v>1</v>
      </c>
      <c r="CG306" s="46" t="str">
        <f t="shared" si="165"/>
        <v>No</v>
      </c>
      <c r="CH306" s="46" t="s">
        <v>35</v>
      </c>
      <c r="CI306" s="56">
        <v>500</v>
      </c>
      <c r="CJ306" s="46" t="s">
        <v>180</v>
      </c>
      <c r="CK306" s="79">
        <v>1000</v>
      </c>
      <c r="CL306" s="49" t="s">
        <v>35</v>
      </c>
      <c r="CM306" s="50">
        <f>(2/5)*100</f>
        <v>40</v>
      </c>
      <c r="CN306" s="50"/>
      <c r="CO306" s="50"/>
      <c r="CP306" s="46" t="s">
        <v>23</v>
      </c>
      <c r="CQ306" s="46" t="s">
        <v>24</v>
      </c>
      <c r="CR306" s="46">
        <v>11</v>
      </c>
      <c r="CS306" s="46" t="s">
        <v>855</v>
      </c>
      <c r="CT306" s="46" t="s">
        <v>856</v>
      </c>
      <c r="CU306" s="46" t="s">
        <v>213</v>
      </c>
      <c r="CV306" s="46" t="s">
        <v>23</v>
      </c>
      <c r="CW306" s="46">
        <v>3</v>
      </c>
      <c r="CX306" s="49" t="s">
        <v>215</v>
      </c>
      <c r="CY306" s="49" t="s">
        <v>216</v>
      </c>
      <c r="CZ306" s="49">
        <v>1</v>
      </c>
      <c r="DA306" s="49">
        <v>1</v>
      </c>
      <c r="DB306" s="57">
        <v>57293</v>
      </c>
      <c r="DC306" s="58">
        <v>26.06</v>
      </c>
      <c r="DD306" s="58">
        <v>21.22</v>
      </c>
      <c r="DE306" s="58">
        <v>15.120000000000001</v>
      </c>
      <c r="DF306" s="58">
        <v>32.879999999999995</v>
      </c>
      <c r="DG306" s="58">
        <v>4.7</v>
      </c>
      <c r="DH306" s="58">
        <v>73.940000000000012</v>
      </c>
      <c r="DI306" s="45" t="s">
        <v>35</v>
      </c>
      <c r="DJ306" s="59" t="str">
        <f t="shared" si="166"/>
        <v>No single majority group</v>
      </c>
      <c r="DK306" s="60">
        <v>57293</v>
      </c>
      <c r="DL306" s="58">
        <v>26.06</v>
      </c>
      <c r="DM306" s="58">
        <v>21.22</v>
      </c>
      <c r="DN306" s="58">
        <v>15.120000000000001</v>
      </c>
      <c r="DO306" s="58">
        <v>73.940000000000012</v>
      </c>
      <c r="DP306" s="66">
        <v>48.3</v>
      </c>
      <c r="DQ306" s="67">
        <v>78387</v>
      </c>
      <c r="DR306" s="53">
        <v>13.3</v>
      </c>
      <c r="DS306" s="58">
        <v>78.7</v>
      </c>
      <c r="DT306" s="53">
        <v>36.6</v>
      </c>
      <c r="DU306" s="55">
        <v>2.3199999999999998</v>
      </c>
      <c r="DV306" s="102">
        <v>38.6</v>
      </c>
      <c r="DW306" s="53">
        <v>86.7</v>
      </c>
      <c r="DX306" s="53">
        <v>84.24</v>
      </c>
      <c r="DY306" s="53">
        <v>45.346499999999999</v>
      </c>
      <c r="DZ306" s="63"/>
    </row>
    <row r="307" spans="1:130" s="5" customFormat="1" ht="14.25" customHeight="1">
      <c r="A307" s="45">
        <v>1191</v>
      </c>
      <c r="B307" s="46" t="s">
        <v>210</v>
      </c>
      <c r="C307" s="46">
        <v>2014</v>
      </c>
      <c r="D307" s="46" t="s">
        <v>217</v>
      </c>
      <c r="E307" s="46" t="s">
        <v>22</v>
      </c>
      <c r="F307" s="46">
        <v>4</v>
      </c>
      <c r="G307" s="48">
        <v>225000</v>
      </c>
      <c r="H307" s="46" t="s">
        <v>249</v>
      </c>
      <c r="I307" s="46">
        <v>1</v>
      </c>
      <c r="J307" s="46">
        <v>1</v>
      </c>
      <c r="K307" s="49" t="s">
        <v>218</v>
      </c>
      <c r="L307" s="49" t="s">
        <v>30</v>
      </c>
      <c r="M307" s="49" t="s">
        <v>29</v>
      </c>
      <c r="N307" s="49" t="s">
        <v>513</v>
      </c>
      <c r="O307" s="49">
        <v>2002</v>
      </c>
      <c r="P307" s="49" t="s">
        <v>34</v>
      </c>
      <c r="Q307" s="49" t="s">
        <v>35</v>
      </c>
      <c r="R307" s="49">
        <v>0</v>
      </c>
      <c r="S307" s="50">
        <f t="shared" si="155"/>
        <v>0</v>
      </c>
      <c r="T307" s="49">
        <v>1</v>
      </c>
      <c r="U307" s="50">
        <f t="shared" si="156"/>
        <v>100</v>
      </c>
      <c r="V307" s="49" t="s">
        <v>173</v>
      </c>
      <c r="W307" s="49">
        <v>0</v>
      </c>
      <c r="X307" s="50">
        <f t="shared" si="157"/>
        <v>0</v>
      </c>
      <c r="Y307" s="51" t="str">
        <f t="shared" si="158"/>
        <v>No</v>
      </c>
      <c r="Z307" s="49" t="s">
        <v>29</v>
      </c>
      <c r="AA307" s="49" t="s">
        <v>35</v>
      </c>
      <c r="AB307" s="49" t="s">
        <v>29</v>
      </c>
      <c r="AC307" s="46" t="s">
        <v>72</v>
      </c>
      <c r="AD307" s="46" t="s">
        <v>27</v>
      </c>
      <c r="AE307" s="46" t="s">
        <v>73</v>
      </c>
      <c r="AF307" s="46" t="s">
        <v>29</v>
      </c>
      <c r="AG307" s="103">
        <v>231214</v>
      </c>
      <c r="AH307" s="52">
        <v>152516</v>
      </c>
      <c r="AI307" s="52">
        <v>152516</v>
      </c>
      <c r="AJ307" s="102">
        <v>98.26</v>
      </c>
      <c r="AK307" s="104">
        <v>196.52</v>
      </c>
      <c r="AL307" s="108">
        <v>98.26</v>
      </c>
      <c r="AM307" s="108" t="s">
        <v>23</v>
      </c>
      <c r="AN307" s="53">
        <f t="shared" si="159"/>
        <v>196.52</v>
      </c>
      <c r="AO307" s="53" t="s">
        <v>23</v>
      </c>
      <c r="AP307" s="108">
        <v>74841</v>
      </c>
      <c r="AQ307" s="108">
        <v>32.368714697206919</v>
      </c>
      <c r="AR307" s="108">
        <v>74</v>
      </c>
      <c r="AS307" s="108">
        <f>AR307/AI307 *100</f>
        <v>4.8519499593485275E-2</v>
      </c>
      <c r="AT307" s="108"/>
      <c r="AU307" s="108"/>
      <c r="AV307" s="102"/>
      <c r="AW307" s="102"/>
      <c r="AX307" s="108"/>
      <c r="AY307" s="108"/>
      <c r="AZ307" s="108"/>
      <c r="BA307" s="108"/>
      <c r="BB307" s="108"/>
      <c r="BC307" s="108"/>
      <c r="BD307" s="108"/>
      <c r="BE307" s="108"/>
      <c r="BF307" s="108"/>
      <c r="BG307" s="108"/>
      <c r="BH307" s="108"/>
      <c r="BI307" s="108"/>
      <c r="BJ307" s="102"/>
      <c r="BK307" s="102"/>
      <c r="BL307" s="102"/>
      <c r="BM307" s="102"/>
      <c r="BN307" s="102"/>
      <c r="BO307" s="108"/>
      <c r="BP307" s="108"/>
      <c r="BQ307" s="108"/>
      <c r="BR307" s="102"/>
      <c r="BS307" s="54" t="s">
        <v>23</v>
      </c>
      <c r="BT307" s="45" t="str">
        <f t="shared" si="160"/>
        <v>No</v>
      </c>
      <c r="BU307" s="45" t="str">
        <f t="shared" si="161"/>
        <v>No</v>
      </c>
      <c r="BV307" s="45" t="str">
        <f t="shared" si="162"/>
        <v>No</v>
      </c>
      <c r="BW307" s="55">
        <f t="shared" si="167"/>
        <v>86.503401672596539</v>
      </c>
      <c r="BX307" s="55">
        <f>(301723/(301723+ 47076))*100</f>
        <v>86.503401672596539</v>
      </c>
      <c r="BY307" s="55">
        <v>84.573401672596532</v>
      </c>
      <c r="BZ307" s="55">
        <f t="shared" si="163"/>
        <v>84.573401672596532</v>
      </c>
      <c r="CA307" s="45">
        <v>2012</v>
      </c>
      <c r="CB307" s="55">
        <f t="shared" si="164"/>
        <v>25.051082421733845</v>
      </c>
      <c r="CC307" s="46" t="s">
        <v>490</v>
      </c>
      <c r="CD307" s="46" t="s">
        <v>71</v>
      </c>
      <c r="CE307" s="71" t="s">
        <v>783</v>
      </c>
      <c r="CF307" s="46">
        <v>1</v>
      </c>
      <c r="CG307" s="46" t="str">
        <f t="shared" si="165"/>
        <v>No</v>
      </c>
      <c r="CH307" s="46" t="s">
        <v>29</v>
      </c>
      <c r="CI307" s="56">
        <v>4500</v>
      </c>
      <c r="CJ307" s="46" t="s">
        <v>180</v>
      </c>
      <c r="CK307" s="56">
        <f>CI307*2</f>
        <v>9000</v>
      </c>
      <c r="CL307" s="49" t="s">
        <v>29</v>
      </c>
      <c r="CM307" s="50">
        <v>0</v>
      </c>
      <c r="CN307" s="50"/>
      <c r="CO307" s="50"/>
      <c r="CP307" s="46" t="s">
        <v>23</v>
      </c>
      <c r="CQ307" s="46" t="s">
        <v>23</v>
      </c>
      <c r="CR307" s="46">
        <v>11</v>
      </c>
      <c r="CS307" s="46" t="s">
        <v>855</v>
      </c>
      <c r="CT307" s="46" t="s">
        <v>963</v>
      </c>
      <c r="CU307" s="46" t="s">
        <v>213</v>
      </c>
      <c r="CV307" s="46" t="s">
        <v>23</v>
      </c>
      <c r="CW307" s="46">
        <v>3</v>
      </c>
      <c r="CX307" s="49" t="s">
        <v>215</v>
      </c>
      <c r="CY307" s="49" t="s">
        <v>216</v>
      </c>
      <c r="CZ307" s="49">
        <v>1</v>
      </c>
      <c r="DA307" s="49">
        <v>1</v>
      </c>
      <c r="DB307" s="57">
        <v>608820</v>
      </c>
      <c r="DC307" s="58">
        <v>47.985447258631453</v>
      </c>
      <c r="DD307" s="58">
        <v>6.1003252192766331</v>
      </c>
      <c r="DE307" s="58">
        <v>11.456588154134227</v>
      </c>
      <c r="DF307" s="58">
        <v>31.097040176078316</v>
      </c>
      <c r="DG307" s="58">
        <v>3.3605991918793654</v>
      </c>
      <c r="DH307" s="58">
        <v>52.014552741368547</v>
      </c>
      <c r="DI307" s="45" t="s">
        <v>35</v>
      </c>
      <c r="DJ307" s="59" t="str">
        <f t="shared" si="166"/>
        <v>No single majority group</v>
      </c>
      <c r="DK307" s="60">
        <v>608820</v>
      </c>
      <c r="DL307" s="58">
        <v>47.985447258631453</v>
      </c>
      <c r="DM307" s="58">
        <v>6.1003252192766331</v>
      </c>
      <c r="DN307" s="58">
        <v>11.456588154134227</v>
      </c>
      <c r="DO307" s="58">
        <v>52.014552741368547</v>
      </c>
      <c r="DP307" s="66">
        <v>48.3</v>
      </c>
      <c r="DQ307" s="67">
        <v>78387</v>
      </c>
      <c r="DR307" s="53">
        <v>13.3</v>
      </c>
      <c r="DS307" s="58">
        <v>78.7</v>
      </c>
      <c r="DT307" s="53">
        <v>36.6</v>
      </c>
      <c r="DU307" s="55">
        <v>2.3199999999999998</v>
      </c>
      <c r="DV307" s="102">
        <v>38.6</v>
      </c>
      <c r="DW307" s="53">
        <v>86.7</v>
      </c>
      <c r="DX307" s="53">
        <v>84.24</v>
      </c>
      <c r="DY307" s="53">
        <v>45.346499999999999</v>
      </c>
      <c r="DZ307" s="63"/>
    </row>
    <row r="308" spans="1:130" s="5" customFormat="1" ht="14.25" customHeight="1">
      <c r="A308" s="45">
        <v>1463</v>
      </c>
      <c r="B308" s="46" t="s">
        <v>210</v>
      </c>
      <c r="C308" s="47">
        <v>2015</v>
      </c>
      <c r="D308" s="47" t="s">
        <v>219</v>
      </c>
      <c r="E308" s="46" t="s">
        <v>95</v>
      </c>
      <c r="F308" s="46">
        <v>4</v>
      </c>
      <c r="G308" s="48">
        <v>108000</v>
      </c>
      <c r="H308" s="46" t="s">
        <v>249</v>
      </c>
      <c r="I308" s="46">
        <v>1</v>
      </c>
      <c r="J308" s="46">
        <v>3</v>
      </c>
      <c r="K308" s="49" t="s">
        <v>261</v>
      </c>
      <c r="L308" s="49" t="s">
        <v>30</v>
      </c>
      <c r="M308" s="49" t="s">
        <v>29</v>
      </c>
      <c r="N308" s="49" t="s">
        <v>618</v>
      </c>
      <c r="O308" s="49" t="s">
        <v>3144</v>
      </c>
      <c r="P308" s="49" t="s">
        <v>31</v>
      </c>
      <c r="Q308" s="49" t="s">
        <v>29</v>
      </c>
      <c r="R308" s="49">
        <v>2</v>
      </c>
      <c r="S308" s="50">
        <f t="shared" si="155"/>
        <v>66.666666666666657</v>
      </c>
      <c r="T308" s="49">
        <v>1</v>
      </c>
      <c r="U308" s="50">
        <f t="shared" si="156"/>
        <v>33.333333333333329</v>
      </c>
      <c r="V308" s="49" t="s">
        <v>173</v>
      </c>
      <c r="W308" s="49">
        <v>1</v>
      </c>
      <c r="X308" s="50">
        <f t="shared" si="157"/>
        <v>33.333333333333329</v>
      </c>
      <c r="Y308" s="51" t="str">
        <f t="shared" si="158"/>
        <v>No</v>
      </c>
      <c r="Z308" s="45" t="s">
        <v>29</v>
      </c>
      <c r="AA308" s="45" t="s">
        <v>29</v>
      </c>
      <c r="AB308" s="45" t="s">
        <v>35</v>
      </c>
      <c r="AC308" s="46" t="s">
        <v>72</v>
      </c>
      <c r="AD308" s="46" t="s">
        <v>27</v>
      </c>
      <c r="AE308" s="46" t="s">
        <v>164</v>
      </c>
      <c r="AF308" s="46" t="s">
        <v>35</v>
      </c>
      <c r="AG308" s="103">
        <v>17554</v>
      </c>
      <c r="AH308" s="52">
        <v>16262</v>
      </c>
      <c r="AI308" s="52">
        <v>16262</v>
      </c>
      <c r="AJ308" s="102">
        <v>52.28</v>
      </c>
      <c r="AK308" s="104">
        <v>104.56</v>
      </c>
      <c r="AL308" s="102">
        <v>54.09</v>
      </c>
      <c r="AM308" s="102"/>
      <c r="AN308" s="53">
        <f t="shared" si="159"/>
        <v>108.18</v>
      </c>
      <c r="AO308" s="53">
        <v>43.5</v>
      </c>
      <c r="AP308" s="102">
        <v>819</v>
      </c>
      <c r="AQ308" s="102">
        <v>4.6656032813034063</v>
      </c>
      <c r="AR308" s="102">
        <v>63</v>
      </c>
      <c r="AS308" s="102">
        <f>AR308/AI308 *100</f>
        <v>0.38740622309679007</v>
      </c>
      <c r="AT308" s="102">
        <v>41</v>
      </c>
      <c r="AU308" s="102">
        <v>0.2</v>
      </c>
      <c r="AV308" s="102">
        <v>0</v>
      </c>
      <c r="AW308" s="102">
        <v>0</v>
      </c>
      <c r="AX308" s="102"/>
      <c r="AY308" s="102"/>
      <c r="AZ308" s="102"/>
      <c r="BA308" s="102"/>
      <c r="BB308" s="102"/>
      <c r="BC308" s="102"/>
      <c r="BD308" s="102"/>
      <c r="BE308" s="102"/>
      <c r="BF308" s="102"/>
      <c r="BG308" s="102"/>
      <c r="BH308" s="102"/>
      <c r="BI308" s="102"/>
      <c r="BJ308" s="102"/>
      <c r="BK308" s="102"/>
      <c r="BL308" s="102"/>
      <c r="BM308" s="102"/>
      <c r="BN308" s="102"/>
      <c r="BO308" s="102"/>
      <c r="BP308" s="102"/>
      <c r="BQ308" s="102"/>
      <c r="BR308" s="102"/>
      <c r="BS308" s="54" t="s">
        <v>23</v>
      </c>
      <c r="BT308" s="45" t="str">
        <f t="shared" si="160"/>
        <v>Yes</v>
      </c>
      <c r="BU308" s="45" t="str">
        <f t="shared" si="161"/>
        <v>Yes</v>
      </c>
      <c r="BV308" s="45" t="str">
        <f t="shared" si="162"/>
        <v>No</v>
      </c>
      <c r="BW308" s="55">
        <v>86.5</v>
      </c>
      <c r="BX308" s="55">
        <v>86.5</v>
      </c>
      <c r="BY308" s="55">
        <v>84.573401672596532</v>
      </c>
      <c r="BZ308" s="55">
        <v>82.274338592232994</v>
      </c>
      <c r="CA308" s="45">
        <v>2012</v>
      </c>
      <c r="CB308" s="55"/>
      <c r="CC308" s="46" t="s">
        <v>490</v>
      </c>
      <c r="CD308" s="46" t="s">
        <v>71</v>
      </c>
      <c r="CE308" s="46" t="s">
        <v>783</v>
      </c>
      <c r="CF308" s="46">
        <v>1</v>
      </c>
      <c r="CG308" s="46" t="str">
        <f t="shared" si="165"/>
        <v>No</v>
      </c>
      <c r="CH308" s="46" t="s">
        <v>35</v>
      </c>
      <c r="CI308" s="56"/>
      <c r="CJ308" s="46" t="s">
        <v>180</v>
      </c>
      <c r="CK308" s="46"/>
      <c r="CL308" s="49" t="s">
        <v>29</v>
      </c>
      <c r="CM308" s="50">
        <v>0</v>
      </c>
      <c r="CN308" s="50"/>
      <c r="CO308" s="50"/>
      <c r="CP308" s="46" t="s">
        <v>23</v>
      </c>
      <c r="CQ308" s="46" t="s">
        <v>23</v>
      </c>
      <c r="CR308" s="46">
        <v>11</v>
      </c>
      <c r="CS308" s="46" t="s">
        <v>855</v>
      </c>
      <c r="CT308" s="46" t="s">
        <v>856</v>
      </c>
      <c r="CU308" s="46" t="s">
        <v>213</v>
      </c>
      <c r="CV308" s="46" t="s">
        <v>23</v>
      </c>
      <c r="CW308" s="46">
        <v>4</v>
      </c>
      <c r="CX308" s="49" t="s">
        <v>215</v>
      </c>
      <c r="CY308" s="49" t="s">
        <v>216</v>
      </c>
      <c r="CZ308" s="49">
        <v>1</v>
      </c>
      <c r="DA308" s="49">
        <v>1</v>
      </c>
      <c r="DB308" s="57">
        <v>608820</v>
      </c>
      <c r="DC308" s="58">
        <v>47.985447258631453</v>
      </c>
      <c r="DD308" s="58">
        <v>6.1003252192766331</v>
      </c>
      <c r="DE308" s="58">
        <v>11.456588154134227</v>
      </c>
      <c r="DF308" s="58">
        <v>31.097040176078316</v>
      </c>
      <c r="DG308" s="58">
        <v>3.3605991918793703</v>
      </c>
      <c r="DH308" s="58">
        <v>52.014552741368547</v>
      </c>
      <c r="DI308" s="45" t="s">
        <v>35</v>
      </c>
      <c r="DJ308" s="59" t="str">
        <f t="shared" si="166"/>
        <v>No single majority group</v>
      </c>
      <c r="DK308" s="60">
        <v>608820</v>
      </c>
      <c r="DL308" s="58">
        <v>47.985447258631453</v>
      </c>
      <c r="DM308" s="58">
        <v>6.1003252192766331</v>
      </c>
      <c r="DN308" s="58">
        <v>11.456588154134227</v>
      </c>
      <c r="DO308" s="58">
        <v>52.014552741368547</v>
      </c>
      <c r="DP308" s="66">
        <v>48.3</v>
      </c>
      <c r="DQ308" s="67">
        <v>78387</v>
      </c>
      <c r="DR308" s="53">
        <v>13.3</v>
      </c>
      <c r="DS308" s="58">
        <v>78.7</v>
      </c>
      <c r="DT308" s="53">
        <v>36.6</v>
      </c>
      <c r="DU308" s="55">
        <v>2.3199999999999998</v>
      </c>
      <c r="DV308" s="102">
        <v>38.6</v>
      </c>
      <c r="DW308" s="53">
        <v>86.7</v>
      </c>
      <c r="DX308" s="53">
        <v>84.24</v>
      </c>
      <c r="DY308" s="53">
        <v>45.346499999999999</v>
      </c>
      <c r="DZ308" s="45"/>
    </row>
    <row r="309" spans="1:130" s="5" customFormat="1" ht="14.25" customHeight="1">
      <c r="A309" s="45">
        <v>1464</v>
      </c>
      <c r="B309" s="46" t="s">
        <v>210</v>
      </c>
      <c r="C309" s="47">
        <v>2015</v>
      </c>
      <c r="D309" s="47" t="s">
        <v>124</v>
      </c>
      <c r="E309" s="46" t="s">
        <v>22</v>
      </c>
      <c r="F309" s="46">
        <v>4</v>
      </c>
      <c r="G309" s="48"/>
      <c r="H309" s="46" t="s">
        <v>249</v>
      </c>
      <c r="I309" s="46">
        <v>1</v>
      </c>
      <c r="J309" s="46">
        <v>1</v>
      </c>
      <c r="K309" s="49" t="s">
        <v>1962</v>
      </c>
      <c r="L309" s="49" t="s">
        <v>30</v>
      </c>
      <c r="M309" s="49" t="s">
        <v>29</v>
      </c>
      <c r="N309" s="49" t="s">
        <v>513</v>
      </c>
      <c r="O309" s="49">
        <v>2001</v>
      </c>
      <c r="P309" s="49" t="s">
        <v>857</v>
      </c>
      <c r="Q309" s="49" t="s">
        <v>35</v>
      </c>
      <c r="R309" s="49"/>
      <c r="S309" s="50"/>
      <c r="T309" s="49"/>
      <c r="U309" s="50"/>
      <c r="V309" s="49"/>
      <c r="W309" s="49"/>
      <c r="X309" s="50"/>
      <c r="Y309" s="51"/>
      <c r="Z309" s="45"/>
      <c r="AA309" s="45"/>
      <c r="AB309" s="45"/>
      <c r="AC309" s="46" t="s">
        <v>72</v>
      </c>
      <c r="AD309" s="46" t="s">
        <v>27</v>
      </c>
      <c r="AE309" s="46" t="s">
        <v>164</v>
      </c>
      <c r="AF309" s="46" t="s">
        <v>29</v>
      </c>
      <c r="AG309" s="103"/>
      <c r="AH309" s="52">
        <v>16262</v>
      </c>
      <c r="AI309" s="52">
        <v>16262</v>
      </c>
      <c r="AJ309" s="102"/>
      <c r="AK309" s="104"/>
      <c r="AL309" s="102"/>
      <c r="AM309" s="102"/>
      <c r="AN309" s="53"/>
      <c r="AO309" s="53"/>
      <c r="AP309" s="102"/>
      <c r="AQ309" s="102"/>
      <c r="AR309" s="102"/>
      <c r="AS309" s="102"/>
      <c r="AT309" s="102"/>
      <c r="AU309" s="102"/>
      <c r="AV309" s="102"/>
      <c r="AW309" s="102"/>
      <c r="AX309" s="102"/>
      <c r="AY309" s="102"/>
      <c r="AZ309" s="102"/>
      <c r="BA309" s="102"/>
      <c r="BB309" s="102"/>
      <c r="BC309" s="102"/>
      <c r="BD309" s="102"/>
      <c r="BE309" s="102"/>
      <c r="BF309" s="102"/>
      <c r="BG309" s="102"/>
      <c r="BH309" s="102"/>
      <c r="BI309" s="102"/>
      <c r="BJ309" s="102"/>
      <c r="BK309" s="102"/>
      <c r="BL309" s="102"/>
      <c r="BM309" s="102"/>
      <c r="BN309" s="102"/>
      <c r="BO309" s="102"/>
      <c r="BP309" s="102"/>
      <c r="BQ309" s="102"/>
      <c r="BR309" s="102"/>
      <c r="BS309" s="54"/>
      <c r="BT309" s="45" t="str">
        <f t="shared" si="160"/>
        <v>No</v>
      </c>
      <c r="BU309" s="45" t="str">
        <f t="shared" si="161"/>
        <v>No</v>
      </c>
      <c r="BV309" s="45" t="str">
        <f t="shared" si="162"/>
        <v>No</v>
      </c>
      <c r="BW309" s="55">
        <v>86.5</v>
      </c>
      <c r="BX309" s="55">
        <v>86.5</v>
      </c>
      <c r="BY309" s="55">
        <v>84.573401672596532</v>
      </c>
      <c r="BZ309" s="55">
        <v>82.274338592232994</v>
      </c>
      <c r="CA309" s="45">
        <v>2012</v>
      </c>
      <c r="CB309" s="55"/>
      <c r="CC309" s="46" t="s">
        <v>490</v>
      </c>
      <c r="CD309" s="46" t="s">
        <v>71</v>
      </c>
      <c r="CE309" s="46" t="s">
        <v>783</v>
      </c>
      <c r="CF309" s="46">
        <v>1</v>
      </c>
      <c r="CG309" s="46" t="str">
        <f t="shared" si="165"/>
        <v>No</v>
      </c>
      <c r="CH309" s="46" t="s">
        <v>29</v>
      </c>
      <c r="CI309" s="56"/>
      <c r="CJ309" s="46" t="s">
        <v>180</v>
      </c>
      <c r="CK309" s="46"/>
      <c r="CL309" s="49" t="s">
        <v>29</v>
      </c>
      <c r="CM309" s="50">
        <v>0</v>
      </c>
      <c r="CN309" s="50"/>
      <c r="CO309" s="50"/>
      <c r="CP309" s="46" t="s">
        <v>23</v>
      </c>
      <c r="CQ309" s="46" t="s">
        <v>23</v>
      </c>
      <c r="CR309" s="46">
        <v>11</v>
      </c>
      <c r="CS309" s="46" t="s">
        <v>855</v>
      </c>
      <c r="CT309" s="46" t="s">
        <v>963</v>
      </c>
      <c r="CU309" s="46" t="s">
        <v>213</v>
      </c>
      <c r="CV309" s="46" t="s">
        <v>23</v>
      </c>
      <c r="CW309" s="46">
        <v>4</v>
      </c>
      <c r="CX309" s="49" t="s">
        <v>215</v>
      </c>
      <c r="CY309" s="49" t="s">
        <v>216</v>
      </c>
      <c r="CZ309" s="49">
        <v>1</v>
      </c>
      <c r="DA309" s="49">
        <v>1</v>
      </c>
      <c r="DB309" s="57">
        <v>608820</v>
      </c>
      <c r="DC309" s="58">
        <v>47.985447258631453</v>
      </c>
      <c r="DD309" s="58">
        <v>6.1003252192766331</v>
      </c>
      <c r="DE309" s="58">
        <v>11.456588154134227</v>
      </c>
      <c r="DF309" s="58">
        <v>31.097040176078316</v>
      </c>
      <c r="DG309" s="58">
        <v>3.3605991918793703</v>
      </c>
      <c r="DH309" s="58">
        <v>52.014552741368547</v>
      </c>
      <c r="DI309" s="45" t="s">
        <v>35</v>
      </c>
      <c r="DJ309" s="59" t="str">
        <f t="shared" si="166"/>
        <v>No single majority group</v>
      </c>
      <c r="DK309" s="60">
        <v>608820</v>
      </c>
      <c r="DL309" s="58">
        <v>47.985447258631453</v>
      </c>
      <c r="DM309" s="58">
        <v>6.1003252192766331</v>
      </c>
      <c r="DN309" s="58">
        <v>11.456588154134227</v>
      </c>
      <c r="DO309" s="58">
        <v>52.014552741368547</v>
      </c>
      <c r="DP309" s="66">
        <v>48.3</v>
      </c>
      <c r="DQ309" s="67">
        <v>78387</v>
      </c>
      <c r="DR309" s="53">
        <v>13.3</v>
      </c>
      <c r="DS309" s="58">
        <v>78.7</v>
      </c>
      <c r="DT309" s="53">
        <v>36.6</v>
      </c>
      <c r="DU309" s="55">
        <v>2.3199999999999998</v>
      </c>
      <c r="DV309" s="102">
        <v>38.6</v>
      </c>
      <c r="DW309" s="53">
        <v>86.7</v>
      </c>
      <c r="DX309" s="53">
        <v>84.24</v>
      </c>
      <c r="DY309" s="53">
        <v>45.346499999999999</v>
      </c>
      <c r="DZ309" s="63"/>
    </row>
    <row r="310" spans="1:130" s="5" customFormat="1" ht="14.25" customHeight="1">
      <c r="A310" s="45">
        <v>1465</v>
      </c>
      <c r="B310" s="46" t="s">
        <v>210</v>
      </c>
      <c r="C310" s="47">
        <v>2015</v>
      </c>
      <c r="D310" s="47" t="s">
        <v>240</v>
      </c>
      <c r="E310" s="46" t="s">
        <v>22</v>
      </c>
      <c r="F310" s="46">
        <v>4</v>
      </c>
      <c r="G310" s="48"/>
      <c r="H310" s="46" t="s">
        <v>249</v>
      </c>
      <c r="I310" s="46">
        <v>1</v>
      </c>
      <c r="J310" s="46">
        <v>1</v>
      </c>
      <c r="K310" s="49" t="s">
        <v>241</v>
      </c>
      <c r="L310" s="49" t="s">
        <v>30</v>
      </c>
      <c r="M310" s="49" t="s">
        <v>29</v>
      </c>
      <c r="N310" s="49" t="s">
        <v>513</v>
      </c>
      <c r="O310" s="49">
        <v>2011</v>
      </c>
      <c r="P310" s="49" t="s">
        <v>857</v>
      </c>
      <c r="Q310" s="49" t="s">
        <v>35</v>
      </c>
      <c r="R310" s="49"/>
      <c r="S310" s="50"/>
      <c r="T310" s="49"/>
      <c r="U310" s="50"/>
      <c r="V310" s="49"/>
      <c r="W310" s="49"/>
      <c r="X310" s="50"/>
      <c r="Y310" s="51"/>
      <c r="Z310" s="45"/>
      <c r="AA310" s="45"/>
      <c r="AB310" s="45"/>
      <c r="AC310" s="46" t="s">
        <v>72</v>
      </c>
      <c r="AD310" s="46" t="s">
        <v>27</v>
      </c>
      <c r="AE310" s="46" t="s">
        <v>164</v>
      </c>
      <c r="AF310" s="46" t="s">
        <v>29</v>
      </c>
      <c r="AG310" s="103"/>
      <c r="AH310" s="52"/>
      <c r="AI310" s="52"/>
      <c r="AJ310" s="102"/>
      <c r="AK310" s="104"/>
      <c r="AL310" s="102"/>
      <c r="AM310" s="102"/>
      <c r="AN310" s="53"/>
      <c r="AO310" s="53"/>
      <c r="AP310" s="102"/>
      <c r="AQ310" s="102"/>
      <c r="AR310" s="102"/>
      <c r="AS310" s="102"/>
      <c r="AT310" s="102"/>
      <c r="AU310" s="102"/>
      <c r="AV310" s="102"/>
      <c r="AW310" s="102"/>
      <c r="AX310" s="102"/>
      <c r="AY310" s="102"/>
      <c r="AZ310" s="102"/>
      <c r="BA310" s="102"/>
      <c r="BB310" s="102"/>
      <c r="BC310" s="102"/>
      <c r="BD310" s="102"/>
      <c r="BE310" s="102"/>
      <c r="BF310" s="102"/>
      <c r="BG310" s="102"/>
      <c r="BH310" s="102"/>
      <c r="BI310" s="102"/>
      <c r="BJ310" s="102"/>
      <c r="BK310" s="102"/>
      <c r="BL310" s="102"/>
      <c r="BM310" s="102"/>
      <c r="BN310" s="102"/>
      <c r="BO310" s="102"/>
      <c r="BP310" s="102"/>
      <c r="BQ310" s="102"/>
      <c r="BR310" s="102"/>
      <c r="BS310" s="54"/>
      <c r="BT310" s="45" t="str">
        <f t="shared" si="160"/>
        <v>No</v>
      </c>
      <c r="BU310" s="45" t="str">
        <f t="shared" si="161"/>
        <v>No</v>
      </c>
      <c r="BV310" s="45" t="str">
        <f t="shared" si="162"/>
        <v>No</v>
      </c>
      <c r="BW310" s="55">
        <v>86.5</v>
      </c>
      <c r="BX310" s="55">
        <v>86.5</v>
      </c>
      <c r="BY310" s="55">
        <v>84.573401672596532</v>
      </c>
      <c r="BZ310" s="55">
        <v>82.274338592232994</v>
      </c>
      <c r="CA310" s="45">
        <v>2012</v>
      </c>
      <c r="CB310" s="55"/>
      <c r="CC310" s="46" t="s">
        <v>490</v>
      </c>
      <c r="CD310" s="46" t="s">
        <v>71</v>
      </c>
      <c r="CE310" s="46" t="s">
        <v>783</v>
      </c>
      <c r="CF310" s="46">
        <v>1</v>
      </c>
      <c r="CG310" s="46" t="str">
        <f t="shared" si="165"/>
        <v>No</v>
      </c>
      <c r="CH310" s="46" t="s">
        <v>29</v>
      </c>
      <c r="CI310" s="56"/>
      <c r="CJ310" s="46" t="s">
        <v>180</v>
      </c>
      <c r="CK310" s="46"/>
      <c r="CL310" s="49" t="s">
        <v>29</v>
      </c>
      <c r="CM310" s="50">
        <v>0</v>
      </c>
      <c r="CN310" s="50"/>
      <c r="CO310" s="50"/>
      <c r="CP310" s="46" t="s">
        <v>23</v>
      </c>
      <c r="CQ310" s="46" t="s">
        <v>23</v>
      </c>
      <c r="CR310" s="46">
        <v>11</v>
      </c>
      <c r="CS310" s="46" t="s">
        <v>855</v>
      </c>
      <c r="CT310" s="46" t="s">
        <v>963</v>
      </c>
      <c r="CU310" s="46" t="s">
        <v>213</v>
      </c>
      <c r="CV310" s="46" t="s">
        <v>23</v>
      </c>
      <c r="CW310" s="46">
        <v>3</v>
      </c>
      <c r="CX310" s="49" t="s">
        <v>215</v>
      </c>
      <c r="CY310" s="49" t="s">
        <v>216</v>
      </c>
      <c r="CZ310" s="49">
        <v>1</v>
      </c>
      <c r="DA310" s="49">
        <v>1</v>
      </c>
      <c r="DB310" s="57">
        <v>608820</v>
      </c>
      <c r="DC310" s="58">
        <v>47.985447258631453</v>
      </c>
      <c r="DD310" s="58">
        <v>6.1003252192766331</v>
      </c>
      <c r="DE310" s="58">
        <v>11.456588154134227</v>
      </c>
      <c r="DF310" s="58">
        <v>31.097040176078316</v>
      </c>
      <c r="DG310" s="58">
        <v>3.3605991918793703</v>
      </c>
      <c r="DH310" s="58">
        <v>52.014552741368547</v>
      </c>
      <c r="DI310" s="45" t="s">
        <v>35</v>
      </c>
      <c r="DJ310" s="59" t="str">
        <f t="shared" si="166"/>
        <v>No single majority group</v>
      </c>
      <c r="DK310" s="60">
        <v>608820</v>
      </c>
      <c r="DL310" s="58">
        <v>47.985447258631453</v>
      </c>
      <c r="DM310" s="58">
        <v>6.1003252192766331</v>
      </c>
      <c r="DN310" s="58">
        <v>11.456588154134227</v>
      </c>
      <c r="DO310" s="58">
        <v>52.014552741368547</v>
      </c>
      <c r="DP310" s="66">
        <v>48.3</v>
      </c>
      <c r="DQ310" s="67">
        <v>78387</v>
      </c>
      <c r="DR310" s="53">
        <v>13.3</v>
      </c>
      <c r="DS310" s="58">
        <v>78.7</v>
      </c>
      <c r="DT310" s="53">
        <v>36.6</v>
      </c>
      <c r="DU310" s="55">
        <v>2.3199999999999998</v>
      </c>
      <c r="DV310" s="102">
        <v>38.6</v>
      </c>
      <c r="DW310" s="53">
        <v>86.7</v>
      </c>
      <c r="DX310" s="53">
        <v>84.24</v>
      </c>
      <c r="DY310" s="53">
        <v>45.346499999999999</v>
      </c>
      <c r="DZ310" s="63"/>
    </row>
    <row r="311" spans="1:130" s="5" customFormat="1" ht="14.25" customHeight="1">
      <c r="A311" s="45">
        <v>1466</v>
      </c>
      <c r="B311" s="46" t="s">
        <v>210</v>
      </c>
      <c r="C311" s="47">
        <v>2015</v>
      </c>
      <c r="D311" s="47" t="s">
        <v>38</v>
      </c>
      <c r="E311" s="46" t="s">
        <v>22</v>
      </c>
      <c r="F311" s="46">
        <v>4</v>
      </c>
      <c r="G311" s="48">
        <v>270000</v>
      </c>
      <c r="H311" s="46" t="s">
        <v>249</v>
      </c>
      <c r="I311" s="46">
        <v>1</v>
      </c>
      <c r="J311" s="46">
        <v>6</v>
      </c>
      <c r="K311" s="49" t="s">
        <v>243</v>
      </c>
      <c r="L311" s="49" t="s">
        <v>30</v>
      </c>
      <c r="M311" s="49" t="s">
        <v>29</v>
      </c>
      <c r="N311" s="49" t="s">
        <v>513</v>
      </c>
      <c r="O311" s="49">
        <v>2011</v>
      </c>
      <c r="P311" s="49" t="s">
        <v>34</v>
      </c>
      <c r="Q311" s="49" t="s">
        <v>35</v>
      </c>
      <c r="R311" s="49">
        <v>1</v>
      </c>
      <c r="S311" s="50">
        <f>(R311/J311)*100</f>
        <v>16.666666666666664</v>
      </c>
      <c r="T311" s="49">
        <v>2</v>
      </c>
      <c r="U311" s="50">
        <f>(T311/J311)*100</f>
        <v>33.333333333333329</v>
      </c>
      <c r="V311" s="49" t="s">
        <v>959</v>
      </c>
      <c r="W311" s="49">
        <v>0</v>
      </c>
      <c r="X311" s="50">
        <f>(W311/J311)*100</f>
        <v>0</v>
      </c>
      <c r="Y311" s="51" t="str">
        <f>IF(L311="M","No", IF(P311="n/a","No",IF(P311="white","No","Yes")))</f>
        <v>No</v>
      </c>
      <c r="Z311" s="45" t="s">
        <v>29</v>
      </c>
      <c r="AA311" s="45" t="s">
        <v>35</v>
      </c>
      <c r="AB311" s="45" t="s">
        <v>29</v>
      </c>
      <c r="AC311" s="46" t="s">
        <v>72</v>
      </c>
      <c r="AD311" s="46" t="s">
        <v>27</v>
      </c>
      <c r="AE311" s="46" t="s">
        <v>164</v>
      </c>
      <c r="AF311" s="46" t="s">
        <v>29</v>
      </c>
      <c r="AG311" s="103">
        <v>189707</v>
      </c>
      <c r="AH311" s="52"/>
      <c r="AI311" s="52"/>
      <c r="AJ311" s="102">
        <v>56.47</v>
      </c>
      <c r="AK311" s="104">
        <v>112.94</v>
      </c>
      <c r="AL311" s="102">
        <v>67.97</v>
      </c>
      <c r="AM311" s="102"/>
      <c r="AN311" s="53">
        <f>AL311/(1/(I311+1))</f>
        <v>135.94</v>
      </c>
      <c r="AO311" s="53">
        <v>14.87</v>
      </c>
      <c r="AP311" s="102">
        <v>12741</v>
      </c>
      <c r="AQ311" s="102">
        <v>6.7161464785168707</v>
      </c>
      <c r="AR311" s="102"/>
      <c r="AS311" s="102"/>
      <c r="AT311" s="102"/>
      <c r="AU311" s="102"/>
      <c r="AV311" s="179"/>
      <c r="AW311" s="179"/>
      <c r="AX311" s="102"/>
      <c r="AY311" s="102"/>
      <c r="AZ311" s="102"/>
      <c r="BA311" s="102"/>
      <c r="BB311" s="102"/>
      <c r="BC311" s="102"/>
      <c r="BD311" s="102"/>
      <c r="BE311" s="102"/>
      <c r="BF311" s="102"/>
      <c r="BG311" s="102"/>
      <c r="BH311" s="102"/>
      <c r="BI311" s="102"/>
      <c r="BJ311" s="179"/>
      <c r="BK311" s="179"/>
      <c r="BL311" s="179"/>
      <c r="BM311" s="179"/>
      <c r="BN311" s="102"/>
      <c r="BO311" s="102"/>
      <c r="BP311" s="102"/>
      <c r="BQ311" s="102"/>
      <c r="BR311" s="179"/>
      <c r="BS311" s="54" t="s">
        <v>23</v>
      </c>
      <c r="BT311" s="45" t="str">
        <f t="shared" si="160"/>
        <v>No</v>
      </c>
      <c r="BU311" s="45" t="str">
        <f t="shared" si="161"/>
        <v>No</v>
      </c>
      <c r="BV311" s="45" t="str">
        <f t="shared" si="162"/>
        <v>No</v>
      </c>
      <c r="BW311" s="55">
        <v>86.5</v>
      </c>
      <c r="BX311" s="55">
        <v>86.5</v>
      </c>
      <c r="BY311" s="55">
        <v>84.573401672596532</v>
      </c>
      <c r="BZ311" s="55">
        <v>84.573401672596532</v>
      </c>
      <c r="CA311" s="45">
        <v>2012</v>
      </c>
      <c r="CB311" s="55"/>
      <c r="CC311" s="46" t="s">
        <v>490</v>
      </c>
      <c r="CD311" s="46" t="s">
        <v>71</v>
      </c>
      <c r="CE311" s="46" t="s">
        <v>783</v>
      </c>
      <c r="CF311" s="46">
        <v>1</v>
      </c>
      <c r="CG311" s="46" t="str">
        <f t="shared" si="165"/>
        <v>No</v>
      </c>
      <c r="CH311" s="46" t="s">
        <v>35</v>
      </c>
      <c r="CI311" s="56"/>
      <c r="CJ311" s="46" t="s">
        <v>180</v>
      </c>
      <c r="CK311" s="46"/>
      <c r="CL311" s="49" t="s">
        <v>35</v>
      </c>
      <c r="CM311" s="50"/>
      <c r="CN311" s="50">
        <v>1581266.7899999998</v>
      </c>
      <c r="CO311" s="50" t="s">
        <v>35</v>
      </c>
      <c r="CP311" s="46" t="s">
        <v>23</v>
      </c>
      <c r="CQ311" s="46" t="s">
        <v>23</v>
      </c>
      <c r="CR311" s="46">
        <v>11</v>
      </c>
      <c r="CS311" s="46" t="s">
        <v>855</v>
      </c>
      <c r="CT311" s="46" t="s">
        <v>963</v>
      </c>
      <c r="CU311" s="46" t="s">
        <v>213</v>
      </c>
      <c r="CV311" s="46" t="s">
        <v>23</v>
      </c>
      <c r="CW311" s="46">
        <v>3</v>
      </c>
      <c r="CX311" s="49" t="s">
        <v>215</v>
      </c>
      <c r="CY311" s="49" t="s">
        <v>216</v>
      </c>
      <c r="CZ311" s="49">
        <v>1</v>
      </c>
      <c r="DA311" s="49">
        <v>1</v>
      </c>
      <c r="DB311" s="57">
        <v>608820</v>
      </c>
      <c r="DC311" s="58">
        <v>47.985447258631453</v>
      </c>
      <c r="DD311" s="58">
        <v>6.1003252192766331</v>
      </c>
      <c r="DE311" s="58">
        <v>11.456588154134227</v>
      </c>
      <c r="DF311" s="58">
        <v>31.097040176078316</v>
      </c>
      <c r="DG311" s="58">
        <v>3.3605991918793703</v>
      </c>
      <c r="DH311" s="58">
        <v>52.014552741368547</v>
      </c>
      <c r="DI311" s="45" t="s">
        <v>35</v>
      </c>
      <c r="DJ311" s="59" t="str">
        <f t="shared" si="166"/>
        <v>No single majority group</v>
      </c>
      <c r="DK311" s="60">
        <v>608820</v>
      </c>
      <c r="DL311" s="58">
        <v>47.985447258631453</v>
      </c>
      <c r="DM311" s="58">
        <v>6.1003252192766331</v>
      </c>
      <c r="DN311" s="58">
        <v>11.456588154134227</v>
      </c>
      <c r="DO311" s="58">
        <v>52.014552741368547</v>
      </c>
      <c r="DP311" s="66">
        <v>48.3</v>
      </c>
      <c r="DQ311" s="67">
        <v>78387</v>
      </c>
      <c r="DR311" s="53">
        <v>13.3</v>
      </c>
      <c r="DS311" s="58">
        <v>78.7</v>
      </c>
      <c r="DT311" s="53">
        <v>36.6</v>
      </c>
      <c r="DU311" s="55">
        <v>2.3199999999999998</v>
      </c>
      <c r="DV311" s="50">
        <v>38.6</v>
      </c>
      <c r="DW311" s="53">
        <v>86.7</v>
      </c>
      <c r="DX311" s="53">
        <v>84.24</v>
      </c>
      <c r="DY311" s="53">
        <v>45.346499999999999</v>
      </c>
      <c r="DZ311" s="63"/>
    </row>
    <row r="312" spans="1:130" s="5" customFormat="1" ht="14.25" customHeight="1">
      <c r="A312" s="45">
        <v>1467</v>
      </c>
      <c r="B312" s="46" t="s">
        <v>210</v>
      </c>
      <c r="C312" s="47">
        <v>2015</v>
      </c>
      <c r="D312" s="47" t="s">
        <v>244</v>
      </c>
      <c r="E312" s="46" t="s">
        <v>22</v>
      </c>
      <c r="F312" s="46">
        <v>4</v>
      </c>
      <c r="G312" s="48">
        <v>190000</v>
      </c>
      <c r="H312" s="46" t="s">
        <v>249</v>
      </c>
      <c r="I312" s="46">
        <v>1</v>
      </c>
      <c r="J312" s="46">
        <v>3</v>
      </c>
      <c r="K312" s="49" t="s">
        <v>960</v>
      </c>
      <c r="L312" s="49" t="s">
        <v>40</v>
      </c>
      <c r="M312" s="49" t="s">
        <v>35</v>
      </c>
      <c r="N312" s="49" t="s">
        <v>618</v>
      </c>
      <c r="O312" s="49">
        <v>2015</v>
      </c>
      <c r="P312" s="49" t="s">
        <v>31</v>
      </c>
      <c r="Q312" s="49" t="s">
        <v>29</v>
      </c>
      <c r="R312" s="49">
        <v>1</v>
      </c>
      <c r="S312" s="50">
        <f>(R312/J312)*100</f>
        <v>33.333333333333329</v>
      </c>
      <c r="T312" s="49">
        <v>1</v>
      </c>
      <c r="U312" s="50">
        <f>(T312/J312)*100</f>
        <v>33.333333333333329</v>
      </c>
      <c r="V312" s="49" t="s">
        <v>891</v>
      </c>
      <c r="W312" s="49">
        <v>0</v>
      </c>
      <c r="X312" s="50">
        <f>(W312/J312)*100</f>
        <v>0</v>
      </c>
      <c r="Y312" s="51" t="str">
        <f>IF(L312="M","No", IF(P312="n/a","No",IF(P312="white","No","Yes")))</f>
        <v>No</v>
      </c>
      <c r="Z312" s="45" t="s">
        <v>29</v>
      </c>
      <c r="AA312" s="45" t="s">
        <v>35</v>
      </c>
      <c r="AB312" s="45" t="s">
        <v>29</v>
      </c>
      <c r="AC312" s="46" t="s">
        <v>72</v>
      </c>
      <c r="AD312" s="46" t="s">
        <v>27</v>
      </c>
      <c r="AE312" s="46" t="s">
        <v>164</v>
      </c>
      <c r="AF312" s="46" t="s">
        <v>29</v>
      </c>
      <c r="AG312" s="103"/>
      <c r="AH312" s="52">
        <v>183010</v>
      </c>
      <c r="AI312" s="52">
        <v>183010</v>
      </c>
      <c r="AJ312" s="102">
        <v>61.3</v>
      </c>
      <c r="AK312" s="104">
        <v>122.6</v>
      </c>
      <c r="AL312" s="102">
        <v>65.39</v>
      </c>
      <c r="AM312" s="102"/>
      <c r="AN312" s="53">
        <f>AL312/(1/(I312+1))</f>
        <v>130.78</v>
      </c>
      <c r="AO312" s="53">
        <v>33</v>
      </c>
      <c r="AP312" s="102"/>
      <c r="AQ312" s="102"/>
      <c r="AR312" s="102"/>
      <c r="AS312" s="102"/>
      <c r="AT312" s="102"/>
      <c r="AU312" s="102"/>
      <c r="AV312" s="92"/>
      <c r="AW312" s="92"/>
      <c r="AX312" s="102"/>
      <c r="AY312" s="102"/>
      <c r="AZ312" s="102"/>
      <c r="BA312" s="102"/>
      <c r="BB312" s="102"/>
      <c r="BC312" s="102"/>
      <c r="BD312" s="102"/>
      <c r="BE312" s="102"/>
      <c r="BF312" s="102"/>
      <c r="BG312" s="102"/>
      <c r="BH312" s="102"/>
      <c r="BI312" s="102"/>
      <c r="BJ312" s="92"/>
      <c r="BK312" s="92"/>
      <c r="BL312" s="92"/>
      <c r="BM312" s="92"/>
      <c r="BN312" s="102"/>
      <c r="BO312" s="102"/>
      <c r="BP312" s="102"/>
      <c r="BQ312" s="102"/>
      <c r="BR312" s="92"/>
      <c r="BS312" s="54" t="s">
        <v>23</v>
      </c>
      <c r="BT312" s="45" t="str">
        <f t="shared" si="160"/>
        <v>Yes</v>
      </c>
      <c r="BU312" s="45" t="str">
        <f t="shared" si="161"/>
        <v>No</v>
      </c>
      <c r="BV312" s="45" t="str">
        <f t="shared" si="162"/>
        <v>No</v>
      </c>
      <c r="BW312" s="55">
        <v>86.5</v>
      </c>
      <c r="BX312" s="55">
        <v>86.5</v>
      </c>
      <c r="BY312" s="55">
        <v>84.573401672596532</v>
      </c>
      <c r="BZ312" s="55">
        <v>84.573401672596532</v>
      </c>
      <c r="CA312" s="45">
        <v>2012</v>
      </c>
      <c r="CB312" s="55"/>
      <c r="CC312" s="46" t="s">
        <v>490</v>
      </c>
      <c r="CD312" s="46" t="s">
        <v>71</v>
      </c>
      <c r="CE312" s="46" t="s">
        <v>783</v>
      </c>
      <c r="CF312" s="46">
        <v>1</v>
      </c>
      <c r="CG312" s="46" t="str">
        <f t="shared" si="165"/>
        <v>No</v>
      </c>
      <c r="CH312" s="46" t="s">
        <v>29</v>
      </c>
      <c r="CI312" s="56"/>
      <c r="CJ312" s="46" t="s">
        <v>180</v>
      </c>
      <c r="CK312" s="46"/>
      <c r="CL312" s="49" t="s">
        <v>29</v>
      </c>
      <c r="CM312" s="50">
        <v>0</v>
      </c>
      <c r="CN312" s="50"/>
      <c r="CO312" s="50"/>
      <c r="CP312" s="46" t="s">
        <v>23</v>
      </c>
      <c r="CQ312" s="46" t="s">
        <v>23</v>
      </c>
      <c r="CR312" s="46">
        <v>11</v>
      </c>
      <c r="CS312" s="46" t="s">
        <v>855</v>
      </c>
      <c r="CT312" s="46" t="s">
        <v>963</v>
      </c>
      <c r="CU312" s="46" t="s">
        <v>213</v>
      </c>
      <c r="CV312" s="46" t="s">
        <v>23</v>
      </c>
      <c r="CW312" s="46">
        <v>3</v>
      </c>
      <c r="CX312" s="49" t="s">
        <v>215</v>
      </c>
      <c r="CY312" s="49" t="s">
        <v>216</v>
      </c>
      <c r="CZ312" s="49">
        <v>1</v>
      </c>
      <c r="DA312" s="49">
        <v>1</v>
      </c>
      <c r="DB312" s="57">
        <v>608820</v>
      </c>
      <c r="DC312" s="58">
        <v>47.985447258631453</v>
      </c>
      <c r="DD312" s="58">
        <v>6.1003252192766331</v>
      </c>
      <c r="DE312" s="58">
        <v>11.456588154134227</v>
      </c>
      <c r="DF312" s="58">
        <v>31.097040176078316</v>
      </c>
      <c r="DG312" s="58">
        <v>3.3605991918793703</v>
      </c>
      <c r="DH312" s="58">
        <v>52.014552741368547</v>
      </c>
      <c r="DI312" s="45" t="s">
        <v>35</v>
      </c>
      <c r="DJ312" s="59" t="str">
        <f t="shared" si="166"/>
        <v>No single majority group</v>
      </c>
      <c r="DK312" s="60">
        <v>608820</v>
      </c>
      <c r="DL312" s="58">
        <v>47.985447258631453</v>
      </c>
      <c r="DM312" s="58">
        <v>6.1003252192766331</v>
      </c>
      <c r="DN312" s="58">
        <v>11.456588154134227</v>
      </c>
      <c r="DO312" s="58">
        <v>52.014552741368547</v>
      </c>
      <c r="DP312" s="66">
        <v>48.3</v>
      </c>
      <c r="DQ312" s="67">
        <v>78387</v>
      </c>
      <c r="DR312" s="53">
        <v>13.3</v>
      </c>
      <c r="DS312" s="58">
        <v>78.7</v>
      </c>
      <c r="DT312" s="53">
        <v>36.6</v>
      </c>
      <c r="DU312" s="55">
        <v>2.3199999999999998</v>
      </c>
      <c r="DV312" s="50">
        <v>38.6</v>
      </c>
      <c r="DW312" s="53">
        <v>86.7</v>
      </c>
      <c r="DX312" s="53">
        <v>84.24</v>
      </c>
      <c r="DY312" s="53">
        <v>45.346499999999999</v>
      </c>
      <c r="DZ312" s="63"/>
    </row>
    <row r="313" spans="1:130" s="5" customFormat="1" ht="14.25" customHeight="1">
      <c r="A313" s="45">
        <v>1468</v>
      </c>
      <c r="B313" s="46" t="s">
        <v>210</v>
      </c>
      <c r="C313" s="47">
        <v>2015</v>
      </c>
      <c r="D313" s="47" t="s">
        <v>230</v>
      </c>
      <c r="E313" s="46" t="s">
        <v>22</v>
      </c>
      <c r="F313" s="46">
        <v>4</v>
      </c>
      <c r="G313" s="48"/>
      <c r="H313" s="46" t="s">
        <v>249</v>
      </c>
      <c r="I313" s="46">
        <v>1</v>
      </c>
      <c r="J313" s="46">
        <v>1</v>
      </c>
      <c r="K313" s="49" t="s">
        <v>231</v>
      </c>
      <c r="L313" s="49" t="s">
        <v>30</v>
      </c>
      <c r="M313" s="49" t="s">
        <v>29</v>
      </c>
      <c r="N313" s="49" t="s">
        <v>513</v>
      </c>
      <c r="O313" s="49">
        <v>2005</v>
      </c>
      <c r="P313" s="49" t="s">
        <v>3139</v>
      </c>
      <c r="Q313" s="49" t="s">
        <v>35</v>
      </c>
      <c r="R313" s="49"/>
      <c r="S313" s="50"/>
      <c r="T313" s="49"/>
      <c r="U313" s="50"/>
      <c r="V313" s="49"/>
      <c r="W313" s="49"/>
      <c r="X313" s="50"/>
      <c r="Y313" s="51"/>
      <c r="Z313" s="45"/>
      <c r="AA313" s="45"/>
      <c r="AB313" s="45"/>
      <c r="AC313" s="46" t="s">
        <v>72</v>
      </c>
      <c r="AD313" s="46" t="s">
        <v>27</v>
      </c>
      <c r="AE313" s="46" t="s">
        <v>164</v>
      </c>
      <c r="AF313" s="46" t="s">
        <v>29</v>
      </c>
      <c r="AG313" s="52"/>
      <c r="AH313" s="52">
        <v>179130</v>
      </c>
      <c r="AI313" s="52">
        <v>179130</v>
      </c>
      <c r="AJ313" s="102">
        <v>61.3</v>
      </c>
      <c r="AK313" s="53">
        <v>122.6</v>
      </c>
      <c r="AL313" s="102">
        <v>65.39</v>
      </c>
      <c r="AM313" s="102"/>
      <c r="AN313" s="53"/>
      <c r="AO313" s="53"/>
      <c r="AP313" s="102"/>
      <c r="AQ313" s="102"/>
      <c r="AR313" s="102"/>
      <c r="AS313" s="102"/>
      <c r="AT313" s="102"/>
      <c r="AU313" s="102"/>
      <c r="AV313" s="92"/>
      <c r="AW313" s="92"/>
      <c r="AX313" s="102"/>
      <c r="AY313" s="102"/>
      <c r="AZ313" s="102"/>
      <c r="BA313" s="102"/>
      <c r="BB313" s="102"/>
      <c r="BC313" s="102"/>
      <c r="BD313" s="102"/>
      <c r="BE313" s="102"/>
      <c r="BF313" s="102"/>
      <c r="BG313" s="102"/>
      <c r="BH313" s="102"/>
      <c r="BI313" s="102"/>
      <c r="BJ313" s="92"/>
      <c r="BK313" s="92"/>
      <c r="BL313" s="92"/>
      <c r="BM313" s="92"/>
      <c r="BN313" s="102"/>
      <c r="BO313" s="102"/>
      <c r="BP313" s="102"/>
      <c r="BQ313" s="102"/>
      <c r="BR313" s="92"/>
      <c r="BS313" s="54"/>
      <c r="BT313" s="45" t="str">
        <f t="shared" si="160"/>
        <v>No</v>
      </c>
      <c r="BU313" s="45" t="str">
        <f t="shared" si="161"/>
        <v>No</v>
      </c>
      <c r="BV313" s="45" t="str">
        <f t="shared" si="162"/>
        <v>No</v>
      </c>
      <c r="BW313" s="55">
        <v>86.5</v>
      </c>
      <c r="BX313" s="55">
        <v>86.5</v>
      </c>
      <c r="BY313" s="55">
        <v>84.573401672596532</v>
      </c>
      <c r="BZ313" s="55">
        <v>82.274338592232994</v>
      </c>
      <c r="CA313" s="45">
        <v>2012</v>
      </c>
      <c r="CB313" s="55"/>
      <c r="CC313" s="46" t="s">
        <v>490</v>
      </c>
      <c r="CD313" s="46" t="s">
        <v>71</v>
      </c>
      <c r="CE313" s="46" t="s">
        <v>783</v>
      </c>
      <c r="CF313" s="46">
        <v>1</v>
      </c>
      <c r="CG313" s="46" t="str">
        <f t="shared" si="165"/>
        <v>No</v>
      </c>
      <c r="CH313" s="46" t="s">
        <v>29</v>
      </c>
      <c r="CI313" s="56"/>
      <c r="CJ313" s="46" t="s">
        <v>180</v>
      </c>
      <c r="CK313" s="46"/>
      <c r="CL313" s="49" t="s">
        <v>29</v>
      </c>
      <c r="CM313" s="50">
        <v>0</v>
      </c>
      <c r="CN313" s="50"/>
      <c r="CO313" s="50"/>
      <c r="CP313" s="46" t="s">
        <v>23</v>
      </c>
      <c r="CQ313" s="46" t="s">
        <v>23</v>
      </c>
      <c r="CR313" s="46">
        <v>11</v>
      </c>
      <c r="CS313" s="46" t="s">
        <v>855</v>
      </c>
      <c r="CT313" s="46" t="s">
        <v>963</v>
      </c>
      <c r="CU313" s="46" t="s">
        <v>213</v>
      </c>
      <c r="CV313" s="46" t="s">
        <v>23</v>
      </c>
      <c r="CW313" s="46">
        <v>4</v>
      </c>
      <c r="CX313" s="49" t="s">
        <v>215</v>
      </c>
      <c r="CY313" s="49" t="s">
        <v>216</v>
      </c>
      <c r="CZ313" s="49">
        <v>1</v>
      </c>
      <c r="DA313" s="49">
        <v>1</v>
      </c>
      <c r="DB313" s="57">
        <v>608820</v>
      </c>
      <c r="DC313" s="58">
        <v>47.985447258631453</v>
      </c>
      <c r="DD313" s="58">
        <v>6.1003252192766331</v>
      </c>
      <c r="DE313" s="58">
        <v>11.456588154134227</v>
      </c>
      <c r="DF313" s="58">
        <v>31.097040176078316</v>
      </c>
      <c r="DG313" s="58">
        <v>3.3605991918793703</v>
      </c>
      <c r="DH313" s="58">
        <v>52.014552741368547</v>
      </c>
      <c r="DI313" s="45" t="s">
        <v>35</v>
      </c>
      <c r="DJ313" s="59" t="str">
        <f t="shared" si="166"/>
        <v>No single majority group</v>
      </c>
      <c r="DK313" s="60">
        <v>608820</v>
      </c>
      <c r="DL313" s="58">
        <v>47.985447258631453</v>
      </c>
      <c r="DM313" s="58">
        <v>6.1003252192766331</v>
      </c>
      <c r="DN313" s="58">
        <v>11.456588154134227</v>
      </c>
      <c r="DO313" s="58">
        <v>52.014552741368547</v>
      </c>
      <c r="DP313" s="66">
        <v>48.3</v>
      </c>
      <c r="DQ313" s="67">
        <v>78387</v>
      </c>
      <c r="DR313" s="53">
        <v>13.3</v>
      </c>
      <c r="DS313" s="58">
        <v>78.7</v>
      </c>
      <c r="DT313" s="53">
        <v>36.6</v>
      </c>
      <c r="DU313" s="55">
        <v>2.3199999999999998</v>
      </c>
      <c r="DV313" s="50">
        <v>38.6</v>
      </c>
      <c r="DW313" s="53">
        <v>86.7</v>
      </c>
      <c r="DX313" s="53">
        <v>84.24</v>
      </c>
      <c r="DY313" s="53">
        <v>45.346499999999999</v>
      </c>
      <c r="DZ313" s="63"/>
    </row>
    <row r="314" spans="1:130" s="5" customFormat="1" ht="14.25" customHeight="1">
      <c r="A314" s="45">
        <v>2001</v>
      </c>
      <c r="B314" s="46" t="s">
        <v>210</v>
      </c>
      <c r="C314" s="47">
        <v>2016</v>
      </c>
      <c r="D314" s="47" t="s">
        <v>219</v>
      </c>
      <c r="E314" s="46" t="s">
        <v>77</v>
      </c>
      <c r="F314" s="46">
        <v>4</v>
      </c>
      <c r="G314" s="34">
        <v>110858</v>
      </c>
      <c r="H314" s="46" t="s">
        <v>249</v>
      </c>
      <c r="I314" s="46">
        <v>1</v>
      </c>
      <c r="J314" s="46">
        <v>10</v>
      </c>
      <c r="K314" s="63" t="s">
        <v>3131</v>
      </c>
      <c r="L314" s="63" t="s">
        <v>40</v>
      </c>
      <c r="M314" s="46" t="s">
        <v>35</v>
      </c>
      <c r="N314" s="46" t="s">
        <v>512</v>
      </c>
      <c r="O314" s="74">
        <v>2016</v>
      </c>
      <c r="P314" s="49" t="s">
        <v>3140</v>
      </c>
      <c r="Q314" s="63" t="s">
        <v>35</v>
      </c>
      <c r="R314" s="179"/>
      <c r="S314" s="179"/>
      <c r="T314" s="4"/>
      <c r="U314" s="179"/>
      <c r="V314" s="179"/>
      <c r="W314" s="4"/>
      <c r="X314" s="4"/>
      <c r="Y314" s="179"/>
      <c r="Z314" s="179" t="s">
        <v>35</v>
      </c>
      <c r="AA314" s="179"/>
      <c r="AB314" s="179"/>
      <c r="AC314" s="46" t="s">
        <v>3132</v>
      </c>
      <c r="AD314" s="46" t="s">
        <v>27</v>
      </c>
      <c r="AE314" s="46" t="s">
        <v>89</v>
      </c>
      <c r="AF314" s="46" t="s">
        <v>29</v>
      </c>
      <c r="AG314" s="179">
        <v>35107</v>
      </c>
      <c r="AH314" s="52">
        <v>31871</v>
      </c>
      <c r="AI314" s="52">
        <v>31871</v>
      </c>
      <c r="AJ314" s="102">
        <v>39.67</v>
      </c>
      <c r="AK314" s="53">
        <v>79.400000000000006</v>
      </c>
      <c r="AL314" s="102">
        <v>52.77</v>
      </c>
      <c r="AM314" s="102">
        <v>52.77</v>
      </c>
      <c r="AN314" s="179">
        <v>104.8</v>
      </c>
      <c r="AO314" s="179">
        <v>35.32</v>
      </c>
      <c r="AP314" s="51">
        <v>3236</v>
      </c>
      <c r="AQ314" s="102">
        <f>AP314/AG314 *100</f>
        <v>9.2175349645369877</v>
      </c>
      <c r="AR314" s="102">
        <v>255</v>
      </c>
      <c r="AS314" s="102">
        <v>0.8</v>
      </c>
      <c r="AT314" s="102">
        <v>192</v>
      </c>
      <c r="AU314" s="102">
        <v>0.6</v>
      </c>
      <c r="AV314" s="102">
        <v>18</v>
      </c>
      <c r="AW314" s="102">
        <v>0.1</v>
      </c>
      <c r="AX314" s="51">
        <v>1889</v>
      </c>
      <c r="AY314" s="102">
        <v>5.9</v>
      </c>
      <c r="AZ314" s="51">
        <v>1268</v>
      </c>
      <c r="BA314" s="102">
        <v>4</v>
      </c>
      <c r="BB314" s="102">
        <v>621</v>
      </c>
      <c r="BC314" s="102">
        <v>1.9</v>
      </c>
      <c r="BD314" s="102">
        <v>134</v>
      </c>
      <c r="BE314" s="102">
        <v>0.4</v>
      </c>
      <c r="BF314" s="102">
        <v>2241</v>
      </c>
      <c r="BG314" s="102">
        <v>7</v>
      </c>
      <c r="BH314" s="51">
        <v>3175</v>
      </c>
      <c r="BI314" s="102">
        <v>10.1</v>
      </c>
      <c r="BJ314" s="102">
        <v>1802</v>
      </c>
      <c r="BK314" s="102">
        <v>5.7</v>
      </c>
      <c r="BL314" s="102">
        <v>1365</v>
      </c>
      <c r="BM314" s="102">
        <v>4.3</v>
      </c>
      <c r="BN314" s="179"/>
      <c r="BO314" s="179"/>
      <c r="BP314" s="179"/>
      <c r="BQ314" s="179"/>
      <c r="BR314" s="92" t="s">
        <v>967</v>
      </c>
      <c r="BS314" s="179" t="s">
        <v>29</v>
      </c>
      <c r="BT314" s="45" t="str">
        <f t="shared" si="160"/>
        <v>Yes</v>
      </c>
      <c r="BU314" s="45" t="str">
        <f t="shared" si="161"/>
        <v>Yes</v>
      </c>
      <c r="BV314" s="45" t="str">
        <f t="shared" si="162"/>
        <v>Yes</v>
      </c>
      <c r="BW314" s="179"/>
      <c r="BX314" s="179"/>
      <c r="BY314" s="179"/>
      <c r="BZ314" s="179"/>
      <c r="CA314" s="101">
        <v>2016</v>
      </c>
      <c r="CB314" s="101"/>
      <c r="CC314" s="46" t="s">
        <v>490</v>
      </c>
      <c r="CD314" s="46" t="s">
        <v>71</v>
      </c>
      <c r="CE314" s="46" t="s">
        <v>783</v>
      </c>
      <c r="CF314" s="46">
        <v>1</v>
      </c>
      <c r="CG314" s="46" t="str">
        <f t="shared" si="165"/>
        <v>No</v>
      </c>
      <c r="CH314" s="179"/>
      <c r="CI314" s="179"/>
      <c r="CJ314" s="179"/>
      <c r="CK314" s="179"/>
      <c r="CL314" s="179"/>
      <c r="CM314" s="179"/>
      <c r="CN314" s="179"/>
      <c r="CO314" s="179"/>
      <c r="CP314" s="179"/>
      <c r="CQ314" s="46" t="s">
        <v>24</v>
      </c>
      <c r="CR314" s="46">
        <v>11</v>
      </c>
      <c r="CS314" s="46" t="s">
        <v>855</v>
      </c>
      <c r="CT314" s="46" t="s">
        <v>856</v>
      </c>
      <c r="CU314" s="46" t="s">
        <v>213</v>
      </c>
      <c r="CV314" s="179"/>
      <c r="CW314" s="179"/>
      <c r="CX314" s="179"/>
      <c r="CY314" s="179"/>
      <c r="CZ314" s="179"/>
      <c r="DA314" s="179"/>
      <c r="DB314" s="179"/>
      <c r="DC314" s="37"/>
      <c r="DD314" s="179"/>
      <c r="DE314" s="179"/>
      <c r="DF314" s="179"/>
      <c r="DG314" s="179"/>
      <c r="DH314" s="179"/>
      <c r="DI314" s="179"/>
      <c r="DJ314" s="179"/>
      <c r="DK314" s="34"/>
      <c r="DL314" s="37"/>
      <c r="DM314" s="179"/>
      <c r="DN314" s="179"/>
      <c r="DO314" s="179"/>
      <c r="DP314" s="179"/>
      <c r="DQ314" s="179"/>
      <c r="DR314" s="179"/>
      <c r="DS314" s="179"/>
      <c r="DT314" s="179"/>
      <c r="DU314" s="179"/>
      <c r="DV314" s="179"/>
      <c r="DW314" s="179"/>
      <c r="DX314" s="179"/>
      <c r="DY314" s="179"/>
      <c r="DZ314" s="179"/>
    </row>
    <row r="315" spans="1:130" s="5" customFormat="1" ht="14.25" customHeight="1">
      <c r="A315" s="45">
        <v>2002</v>
      </c>
      <c r="B315" s="46" t="s">
        <v>210</v>
      </c>
      <c r="C315" s="47">
        <v>2016</v>
      </c>
      <c r="D315" s="47" t="s">
        <v>219</v>
      </c>
      <c r="E315" s="46" t="s">
        <v>95</v>
      </c>
      <c r="F315" s="46">
        <v>4</v>
      </c>
      <c r="G315" s="34">
        <v>110858</v>
      </c>
      <c r="H315" s="46" t="s">
        <v>249</v>
      </c>
      <c r="I315" s="46">
        <v>1</v>
      </c>
      <c r="J315" s="46">
        <v>2</v>
      </c>
      <c r="K315" s="49" t="s">
        <v>261</v>
      </c>
      <c r="L315" s="49" t="s">
        <v>30</v>
      </c>
      <c r="M315" s="49" t="s">
        <v>29</v>
      </c>
      <c r="N315" s="49" t="s">
        <v>513</v>
      </c>
      <c r="O315" s="49">
        <v>2015</v>
      </c>
      <c r="P315" s="49" t="s">
        <v>31</v>
      </c>
      <c r="Q315" s="49" t="s">
        <v>29</v>
      </c>
      <c r="R315" s="179">
        <v>0</v>
      </c>
      <c r="S315" s="179">
        <v>0</v>
      </c>
      <c r="T315" s="179">
        <v>0</v>
      </c>
      <c r="U315" s="179">
        <v>0</v>
      </c>
      <c r="V315" s="179"/>
      <c r="W315" s="179">
        <v>0</v>
      </c>
      <c r="X315" s="179">
        <v>0</v>
      </c>
      <c r="Y315" s="179" t="s">
        <v>29</v>
      </c>
      <c r="Z315" s="45" t="s">
        <v>29</v>
      </c>
      <c r="AA315" s="179" t="s">
        <v>29</v>
      </c>
      <c r="AB315" s="179" t="s">
        <v>29</v>
      </c>
      <c r="AC315" s="46" t="s">
        <v>72</v>
      </c>
      <c r="AD315" s="46" t="s">
        <v>27</v>
      </c>
      <c r="AE315" s="46" t="s">
        <v>155</v>
      </c>
      <c r="AF315" s="46" t="s">
        <v>29</v>
      </c>
      <c r="AG315" s="179">
        <v>31521</v>
      </c>
      <c r="AH315" s="52">
        <v>26682</v>
      </c>
      <c r="AI315" s="52">
        <v>26682</v>
      </c>
      <c r="AJ315" s="102">
        <v>72.06</v>
      </c>
      <c r="AK315" s="53">
        <v>144.19999999999999</v>
      </c>
      <c r="AL315" s="102">
        <v>72.099999999999994</v>
      </c>
      <c r="AM315" s="102">
        <v>72.099999999999994</v>
      </c>
      <c r="AN315" s="179">
        <v>146.06</v>
      </c>
      <c r="AO315" s="53">
        <v>26.97</v>
      </c>
      <c r="AP315" s="176">
        <v>4839</v>
      </c>
      <c r="AQ315" s="102">
        <v>15.4</v>
      </c>
      <c r="AR315" s="102">
        <v>56</v>
      </c>
      <c r="AS315" s="102">
        <v>0.2</v>
      </c>
      <c r="AT315" s="102">
        <v>24</v>
      </c>
      <c r="AU315" s="102">
        <v>0.1</v>
      </c>
      <c r="AV315" s="92"/>
      <c r="AW315" s="92"/>
      <c r="AX315" s="51">
        <v>5897</v>
      </c>
      <c r="AY315" s="102">
        <v>22.1</v>
      </c>
      <c r="AZ315" s="51">
        <v>4373</v>
      </c>
      <c r="BA315" s="102">
        <v>16.399999999999999</v>
      </c>
      <c r="BB315" s="102">
        <v>1524</v>
      </c>
      <c r="BC315" s="102">
        <v>5.7</v>
      </c>
      <c r="BD315" s="102">
        <v>483</v>
      </c>
      <c r="BE315" s="102">
        <v>1.8</v>
      </c>
      <c r="BF315" s="102">
        <v>6366</v>
      </c>
      <c r="BG315" s="102">
        <v>23.9</v>
      </c>
      <c r="BH315" s="51"/>
      <c r="BI315" s="102"/>
      <c r="BJ315" s="92"/>
      <c r="BK315" s="92"/>
      <c r="BL315" s="92"/>
      <c r="BM315" s="92"/>
      <c r="BN315" s="92"/>
      <c r="BO315" s="92"/>
      <c r="BP315" s="92"/>
      <c r="BQ315" s="92"/>
      <c r="BR315" s="92" t="s">
        <v>967</v>
      </c>
      <c r="BS315" s="54" t="s">
        <v>29</v>
      </c>
      <c r="BT315" s="45" t="str">
        <f t="shared" si="160"/>
        <v>No</v>
      </c>
      <c r="BU315" s="45" t="str">
        <f t="shared" si="161"/>
        <v>No</v>
      </c>
      <c r="BV315" s="45" t="str">
        <f t="shared" si="162"/>
        <v>No</v>
      </c>
      <c r="BW315" s="179"/>
      <c r="BX315" s="179"/>
      <c r="BY315" s="179"/>
      <c r="BZ315" s="179"/>
      <c r="CA315" s="45">
        <v>2016</v>
      </c>
      <c r="CB315" s="179"/>
      <c r="CC315" s="46" t="s">
        <v>490</v>
      </c>
      <c r="CD315" s="46" t="s">
        <v>71</v>
      </c>
      <c r="CE315" s="46" t="s">
        <v>783</v>
      </c>
      <c r="CF315" s="46">
        <v>1</v>
      </c>
      <c r="CG315" s="46" t="str">
        <f t="shared" si="165"/>
        <v>No</v>
      </c>
      <c r="CH315" s="46" t="s">
        <v>35</v>
      </c>
      <c r="CI315" s="179"/>
      <c r="CJ315" s="179"/>
      <c r="CK315" s="179"/>
      <c r="CL315" s="179"/>
      <c r="CM315" s="179"/>
      <c r="CN315" s="179"/>
      <c r="CO315" s="179"/>
      <c r="CP315" s="179"/>
      <c r="CQ315" s="46" t="s">
        <v>24</v>
      </c>
      <c r="CR315" s="46">
        <v>11</v>
      </c>
      <c r="CS315" s="46" t="s">
        <v>855</v>
      </c>
      <c r="CT315" s="46" t="s">
        <v>856</v>
      </c>
      <c r="CU315" s="46" t="s">
        <v>213</v>
      </c>
      <c r="CV315" s="179"/>
      <c r="CW315" s="179"/>
      <c r="CX315" s="179"/>
      <c r="CY315" s="179"/>
      <c r="CZ315" s="179"/>
      <c r="DA315" s="179"/>
      <c r="DB315" s="179"/>
      <c r="DC315" s="179"/>
      <c r="DD315" s="179"/>
      <c r="DE315" s="179"/>
      <c r="DF315" s="179"/>
      <c r="DG315" s="179"/>
      <c r="DH315" s="179"/>
      <c r="DI315" s="179"/>
      <c r="DJ315" s="179"/>
      <c r="DK315" s="34"/>
      <c r="DL315" s="179"/>
      <c r="DM315" s="179"/>
      <c r="DN315" s="179"/>
      <c r="DO315" s="179"/>
      <c r="DP315" s="179"/>
      <c r="DQ315" s="179"/>
      <c r="DR315" s="179"/>
      <c r="DS315" s="179"/>
      <c r="DT315" s="179"/>
      <c r="DU315" s="179"/>
      <c r="DV315" s="179"/>
      <c r="DW315" s="179"/>
      <c r="DX315" s="179"/>
      <c r="DY315" s="179"/>
      <c r="DZ315" s="179"/>
    </row>
    <row r="316" spans="1:130" s="5" customFormat="1" ht="14.25" customHeight="1">
      <c r="A316" s="45">
        <v>2003</v>
      </c>
      <c r="B316" s="46" t="s">
        <v>210</v>
      </c>
      <c r="C316" s="47">
        <v>2016</v>
      </c>
      <c r="D316" s="47" t="s">
        <v>219</v>
      </c>
      <c r="E316" s="46" t="s">
        <v>98</v>
      </c>
      <c r="F316" s="46">
        <v>4</v>
      </c>
      <c r="G316" s="34">
        <v>110858</v>
      </c>
      <c r="H316" s="46" t="s">
        <v>249</v>
      </c>
      <c r="I316" s="46">
        <v>1</v>
      </c>
      <c r="J316" s="46">
        <v>2</v>
      </c>
      <c r="K316" s="49" t="s">
        <v>234</v>
      </c>
      <c r="L316" s="49" t="s">
        <v>40</v>
      </c>
      <c r="M316" s="49" t="s">
        <v>35</v>
      </c>
      <c r="N316" s="49" t="s">
        <v>513</v>
      </c>
      <c r="O316" s="49">
        <v>2012</v>
      </c>
      <c r="P316" s="49" t="s">
        <v>201</v>
      </c>
      <c r="Q316" s="49" t="s">
        <v>35</v>
      </c>
      <c r="R316" s="49">
        <v>1</v>
      </c>
      <c r="S316" s="179">
        <v>50</v>
      </c>
      <c r="T316" s="49">
        <v>1</v>
      </c>
      <c r="U316" s="49">
        <v>50</v>
      </c>
      <c r="V316" s="179" t="s">
        <v>858</v>
      </c>
      <c r="W316" s="49">
        <v>1</v>
      </c>
      <c r="X316" s="49">
        <v>50</v>
      </c>
      <c r="Y316" s="179" t="s">
        <v>35</v>
      </c>
      <c r="Z316" s="45" t="s">
        <v>29</v>
      </c>
      <c r="AA316" s="45" t="s">
        <v>35</v>
      </c>
      <c r="AB316" s="45" t="s">
        <v>35</v>
      </c>
      <c r="AC316" s="46" t="s">
        <v>72</v>
      </c>
      <c r="AD316" s="46" t="s">
        <v>27</v>
      </c>
      <c r="AE316" s="46" t="s">
        <v>89</v>
      </c>
      <c r="AF316" s="46" t="s">
        <v>29</v>
      </c>
      <c r="AG316" s="52">
        <v>45528</v>
      </c>
      <c r="AH316" s="52">
        <v>41056</v>
      </c>
      <c r="AI316" s="52">
        <v>41056</v>
      </c>
      <c r="AJ316" s="102">
        <v>52.18</v>
      </c>
      <c r="AK316" s="53">
        <v>104.4</v>
      </c>
      <c r="AL316" s="102">
        <v>52.2</v>
      </c>
      <c r="AM316" s="102">
        <v>52.2</v>
      </c>
      <c r="AN316" s="179">
        <v>107</v>
      </c>
      <c r="AO316" s="53">
        <v>46.54</v>
      </c>
      <c r="AP316" s="51">
        <v>4472</v>
      </c>
      <c r="AQ316" s="102">
        <v>9.8000000000000007</v>
      </c>
      <c r="AR316" s="102">
        <v>117</v>
      </c>
      <c r="AS316" s="102">
        <v>0.3</v>
      </c>
      <c r="AT316" s="102">
        <v>50</v>
      </c>
      <c r="AU316" s="102">
        <v>0.1</v>
      </c>
      <c r="AV316" s="92"/>
      <c r="AW316" s="92"/>
      <c r="AX316" s="51">
        <v>8403</v>
      </c>
      <c r="AY316" s="102">
        <v>20.5</v>
      </c>
      <c r="AZ316" s="51">
        <v>6045</v>
      </c>
      <c r="BA316" s="102">
        <v>14.7</v>
      </c>
      <c r="BB316" s="102">
        <v>2358</v>
      </c>
      <c r="BC316" s="102">
        <v>5.7</v>
      </c>
      <c r="BD316" s="102">
        <v>598</v>
      </c>
      <c r="BE316" s="102">
        <v>1.5</v>
      </c>
      <c r="BF316" s="102">
        <v>9031</v>
      </c>
      <c r="BG316" s="102">
        <v>22</v>
      </c>
      <c r="BH316" s="176"/>
      <c r="BI316" s="92"/>
      <c r="BJ316" s="92"/>
      <c r="BK316" s="92"/>
      <c r="BL316" s="92"/>
      <c r="BM316" s="92"/>
      <c r="BN316" s="92"/>
      <c r="BO316" s="92"/>
      <c r="BP316" s="92"/>
      <c r="BQ316" s="92"/>
      <c r="BR316" s="92" t="s">
        <v>967</v>
      </c>
      <c r="BS316" s="54" t="s">
        <v>29</v>
      </c>
      <c r="BT316" s="45" t="str">
        <f t="shared" si="160"/>
        <v>Yes</v>
      </c>
      <c r="BU316" s="45" t="str">
        <f t="shared" si="161"/>
        <v>Yes</v>
      </c>
      <c r="BV316" s="45" t="str">
        <f t="shared" si="162"/>
        <v>No</v>
      </c>
      <c r="BW316" s="179"/>
      <c r="BX316" s="179"/>
      <c r="BY316" s="179"/>
      <c r="BZ316" s="179"/>
      <c r="CA316" s="45">
        <v>2016</v>
      </c>
      <c r="CB316" s="179"/>
      <c r="CC316" s="46" t="s">
        <v>490</v>
      </c>
      <c r="CD316" s="46" t="s">
        <v>71</v>
      </c>
      <c r="CE316" s="46" t="s">
        <v>783</v>
      </c>
      <c r="CF316" s="46">
        <v>1</v>
      </c>
      <c r="CG316" s="46" t="str">
        <f t="shared" si="165"/>
        <v>No</v>
      </c>
      <c r="CH316" s="179"/>
      <c r="CI316" s="179"/>
      <c r="CJ316" s="179"/>
      <c r="CK316" s="179"/>
      <c r="CL316" s="179"/>
      <c r="CM316" s="179"/>
      <c r="CN316" s="179"/>
      <c r="CO316" s="179"/>
      <c r="CP316" s="179"/>
      <c r="CQ316" s="46" t="s">
        <v>24</v>
      </c>
      <c r="CR316" s="46">
        <v>11</v>
      </c>
      <c r="CS316" s="46" t="s">
        <v>855</v>
      </c>
      <c r="CT316" s="46" t="s">
        <v>856</v>
      </c>
      <c r="CU316" s="46" t="s">
        <v>213</v>
      </c>
      <c r="CV316" s="179"/>
      <c r="CW316" s="179"/>
      <c r="CX316" s="179"/>
      <c r="CY316" s="179"/>
      <c r="CZ316" s="179"/>
      <c r="DA316" s="179"/>
      <c r="DB316" s="179"/>
      <c r="DC316" s="179"/>
      <c r="DD316" s="179"/>
      <c r="DE316" s="179"/>
      <c r="DF316" s="179"/>
      <c r="DG316" s="179"/>
      <c r="DH316" s="179"/>
      <c r="DI316" s="179"/>
      <c r="DJ316" s="179"/>
      <c r="DK316" s="34"/>
      <c r="DL316" s="179"/>
      <c r="DM316" s="179"/>
      <c r="DN316" s="179"/>
      <c r="DO316" s="179"/>
      <c r="DP316" s="179"/>
      <c r="DQ316" s="179"/>
      <c r="DR316" s="179"/>
      <c r="DS316" s="179"/>
      <c r="DT316" s="179"/>
      <c r="DU316" s="179"/>
      <c r="DV316" s="179"/>
      <c r="DW316" s="179"/>
      <c r="DX316" s="179"/>
      <c r="DY316" s="179"/>
      <c r="DZ316" s="8"/>
    </row>
    <row r="317" spans="1:130" s="5" customFormat="1" ht="14.25" customHeight="1">
      <c r="A317" s="45">
        <v>2004</v>
      </c>
      <c r="B317" s="46" t="s">
        <v>210</v>
      </c>
      <c r="C317" s="47">
        <v>2016</v>
      </c>
      <c r="D317" s="47" t="s">
        <v>219</v>
      </c>
      <c r="E317" s="46" t="s">
        <v>83</v>
      </c>
      <c r="F317" s="46">
        <v>4</v>
      </c>
      <c r="G317" s="34">
        <v>110858</v>
      </c>
      <c r="H317" s="46" t="s">
        <v>249</v>
      </c>
      <c r="I317" s="46">
        <v>1</v>
      </c>
      <c r="J317" s="46">
        <v>5</v>
      </c>
      <c r="K317" s="49" t="s">
        <v>235</v>
      </c>
      <c r="L317" s="49" t="s">
        <v>30</v>
      </c>
      <c r="M317" s="49" t="s">
        <v>29</v>
      </c>
      <c r="N317" s="49" t="s">
        <v>513</v>
      </c>
      <c r="O317" s="49">
        <v>2012</v>
      </c>
      <c r="P317" s="49" t="s">
        <v>34</v>
      </c>
      <c r="Q317" s="49" t="s">
        <v>35</v>
      </c>
      <c r="R317" s="49">
        <v>0</v>
      </c>
      <c r="S317" s="179">
        <v>0</v>
      </c>
      <c r="T317" s="179"/>
      <c r="U317" s="179"/>
      <c r="V317" s="179"/>
      <c r="W317" s="179"/>
      <c r="X317" s="179"/>
      <c r="Y317" s="179"/>
      <c r="Z317" s="179" t="s">
        <v>29</v>
      </c>
      <c r="AA317" s="179" t="s">
        <v>35</v>
      </c>
      <c r="AB317" s="179" t="s">
        <v>29</v>
      </c>
      <c r="AC317" s="46" t="s">
        <v>114</v>
      </c>
      <c r="AD317" s="46" t="s">
        <v>27</v>
      </c>
      <c r="AE317" s="46" t="s">
        <v>89</v>
      </c>
      <c r="AF317" s="46" t="s">
        <v>29</v>
      </c>
      <c r="AG317" s="52">
        <v>39486</v>
      </c>
      <c r="AH317" s="52">
        <v>35402</v>
      </c>
      <c r="AI317" s="52">
        <v>35402</v>
      </c>
      <c r="AJ317" s="175">
        <v>40.200000000000003</v>
      </c>
      <c r="AK317" s="53">
        <v>80.400000000000006</v>
      </c>
      <c r="AL317" s="175">
        <v>57.99</v>
      </c>
      <c r="AM317" s="175">
        <v>57.99</v>
      </c>
      <c r="AN317" s="179">
        <v>116</v>
      </c>
      <c r="AO317" s="179">
        <v>21.67</v>
      </c>
      <c r="AP317" s="176">
        <v>4084</v>
      </c>
      <c r="AQ317" s="92">
        <v>10.3</v>
      </c>
      <c r="AR317" s="102">
        <v>185</v>
      </c>
      <c r="AS317" s="102">
        <v>0.5</v>
      </c>
      <c r="AT317" s="102">
        <v>128</v>
      </c>
      <c r="AU317" s="102">
        <v>0.4</v>
      </c>
      <c r="AV317" s="102">
        <v>25</v>
      </c>
      <c r="AW317" s="102">
        <v>0.1</v>
      </c>
      <c r="AX317" s="51">
        <v>2316</v>
      </c>
      <c r="AY317" s="102">
        <v>6.5</v>
      </c>
      <c r="AZ317" s="51">
        <v>1512</v>
      </c>
      <c r="BA317" s="102">
        <v>4.3</v>
      </c>
      <c r="BB317" s="102">
        <v>804</v>
      </c>
      <c r="BC317" s="102">
        <v>2.2999999999999998</v>
      </c>
      <c r="BD317" s="102">
        <v>163</v>
      </c>
      <c r="BE317" s="102">
        <v>0.5</v>
      </c>
      <c r="BF317" s="102">
        <v>2632</v>
      </c>
      <c r="BG317" s="102">
        <v>7.4</v>
      </c>
      <c r="BH317" s="178">
        <v>4767</v>
      </c>
      <c r="BI317" s="92">
        <v>13.5</v>
      </c>
      <c r="BJ317" s="102">
        <v>2000</v>
      </c>
      <c r="BK317" s="102">
        <v>5.7</v>
      </c>
      <c r="BL317" s="102">
        <v>2742</v>
      </c>
      <c r="BM317" s="102">
        <v>7.8</v>
      </c>
      <c r="BN317" s="102"/>
      <c r="BO317" s="92"/>
      <c r="BP317" s="92"/>
      <c r="BQ317" s="92"/>
      <c r="BR317" s="92" t="s">
        <v>967</v>
      </c>
      <c r="BS317" s="179" t="s">
        <v>29</v>
      </c>
      <c r="BT317" s="45" t="str">
        <f t="shared" si="160"/>
        <v>Yes</v>
      </c>
      <c r="BU317" s="45" t="str">
        <f t="shared" si="161"/>
        <v>No</v>
      </c>
      <c r="BV317" s="45" t="str">
        <f t="shared" si="162"/>
        <v>No</v>
      </c>
      <c r="BW317" s="179"/>
      <c r="BX317" s="179"/>
      <c r="BY317" s="179"/>
      <c r="BZ317" s="179"/>
      <c r="CA317" s="179"/>
      <c r="CB317" s="179"/>
      <c r="CC317" s="46" t="s">
        <v>490</v>
      </c>
      <c r="CD317" s="46" t="s">
        <v>71</v>
      </c>
      <c r="CE317" s="46" t="s">
        <v>783</v>
      </c>
      <c r="CF317" s="46">
        <v>1</v>
      </c>
      <c r="CG317" s="46" t="str">
        <f t="shared" si="165"/>
        <v>No</v>
      </c>
      <c r="CH317" s="179"/>
      <c r="CI317" s="179"/>
      <c r="CJ317" s="179"/>
      <c r="CK317" s="179"/>
      <c r="CL317" s="179"/>
      <c r="CM317" s="179"/>
      <c r="CN317" s="179"/>
      <c r="CO317" s="179"/>
      <c r="CP317" s="179"/>
      <c r="CQ317" s="179"/>
      <c r="CR317" s="179"/>
      <c r="CS317" s="179"/>
      <c r="CT317" s="179"/>
      <c r="CU317" s="179"/>
      <c r="CV317" s="179"/>
      <c r="CW317" s="179"/>
      <c r="CX317" s="179"/>
      <c r="CY317" s="179"/>
      <c r="CZ317" s="179"/>
      <c r="DA317" s="179"/>
      <c r="DB317" s="179"/>
      <c r="DC317" s="179"/>
      <c r="DD317" s="179"/>
      <c r="DE317" s="179"/>
      <c r="DF317" s="179"/>
      <c r="DG317" s="179"/>
      <c r="DH317" s="179"/>
      <c r="DI317" s="179"/>
      <c r="DJ317" s="179"/>
      <c r="DK317" s="34"/>
      <c r="DL317" s="179"/>
      <c r="DM317" s="179"/>
      <c r="DN317" s="179"/>
      <c r="DO317" s="179"/>
      <c r="DP317" s="179"/>
      <c r="DQ317" s="179"/>
      <c r="DR317" s="179"/>
      <c r="DS317" s="179"/>
      <c r="DT317" s="179"/>
      <c r="DU317" s="179"/>
      <c r="DV317" s="179"/>
      <c r="DW317" s="179"/>
      <c r="DX317" s="179"/>
      <c r="DY317" s="179"/>
      <c r="DZ317" s="8"/>
    </row>
    <row r="318" spans="1:130" s="5" customFormat="1" ht="14.25" customHeight="1">
      <c r="A318" s="45">
        <v>2005</v>
      </c>
      <c r="B318" s="46" t="s">
        <v>210</v>
      </c>
      <c r="C318" s="47">
        <v>2016</v>
      </c>
      <c r="D318" s="47" t="s">
        <v>219</v>
      </c>
      <c r="E318" s="46" t="s">
        <v>236</v>
      </c>
      <c r="F318" s="46">
        <v>4</v>
      </c>
      <c r="G318" s="34">
        <v>110858</v>
      </c>
      <c r="H318" s="46" t="s">
        <v>249</v>
      </c>
      <c r="I318" s="46">
        <v>1</v>
      </c>
      <c r="J318" s="46">
        <v>4</v>
      </c>
      <c r="K318" s="49" t="s">
        <v>3133</v>
      </c>
      <c r="L318" s="49" t="s">
        <v>40</v>
      </c>
      <c r="M318" s="49" t="s">
        <v>35</v>
      </c>
      <c r="N318" s="49" t="s">
        <v>512</v>
      </c>
      <c r="O318" s="49">
        <v>2016</v>
      </c>
      <c r="P318" s="49" t="s">
        <v>31</v>
      </c>
      <c r="Q318" s="49" t="s">
        <v>29</v>
      </c>
      <c r="R318" s="49">
        <v>2</v>
      </c>
      <c r="S318" s="179">
        <v>50</v>
      </c>
      <c r="T318" s="179"/>
      <c r="U318" s="179"/>
      <c r="V318" s="179"/>
      <c r="W318" s="179"/>
      <c r="X318" s="179"/>
      <c r="Y318" s="179"/>
      <c r="Z318" s="179" t="s">
        <v>35</v>
      </c>
      <c r="AA318" s="179" t="s">
        <v>29</v>
      </c>
      <c r="AB318" s="179" t="s">
        <v>29</v>
      </c>
      <c r="AC318" s="46" t="s">
        <v>72</v>
      </c>
      <c r="AD318" s="46" t="s">
        <v>27</v>
      </c>
      <c r="AE318" s="46" t="s">
        <v>89</v>
      </c>
      <c r="AF318" s="46" t="s">
        <v>29</v>
      </c>
      <c r="AG318" s="52">
        <v>34944</v>
      </c>
      <c r="AH318" s="52">
        <v>32180</v>
      </c>
      <c r="AI318" s="52">
        <v>32180</v>
      </c>
      <c r="AJ318" s="175">
        <v>57.39</v>
      </c>
      <c r="AK318" s="53">
        <v>114.8</v>
      </c>
      <c r="AL318" s="175">
        <v>57.4</v>
      </c>
      <c r="AM318" s="175">
        <v>64.8</v>
      </c>
      <c r="AN318" s="179">
        <v>129.6</v>
      </c>
      <c r="AO318" s="179">
        <v>30.1</v>
      </c>
      <c r="AP318" s="176">
        <v>2764</v>
      </c>
      <c r="AQ318" s="102">
        <v>7.9</v>
      </c>
      <c r="AR318" s="102">
        <v>195</v>
      </c>
      <c r="AS318" s="102">
        <v>0.6</v>
      </c>
      <c r="AT318" s="102">
        <v>127</v>
      </c>
      <c r="AU318" s="102">
        <v>0.4</v>
      </c>
      <c r="AV318" s="92"/>
      <c r="AW318" s="92"/>
      <c r="AX318" s="51">
        <v>2963</v>
      </c>
      <c r="AY318" s="102">
        <v>9.1999999999999993</v>
      </c>
      <c r="AZ318" s="51">
        <v>1997</v>
      </c>
      <c r="BA318" s="102">
        <v>6.2</v>
      </c>
      <c r="BB318" s="102">
        <v>966</v>
      </c>
      <c r="BC318" s="102">
        <v>3</v>
      </c>
      <c r="BD318" s="102">
        <v>200</v>
      </c>
      <c r="BE318" s="102">
        <v>0.6</v>
      </c>
      <c r="BF318" s="102">
        <v>3302</v>
      </c>
      <c r="BG318" s="102">
        <v>10.3</v>
      </c>
      <c r="BH318" s="178"/>
      <c r="BI318" s="92"/>
      <c r="BJ318" s="92"/>
      <c r="BK318" s="92"/>
      <c r="BL318" s="92"/>
      <c r="BM318" s="92"/>
      <c r="BN318" s="102"/>
      <c r="BO318" s="92"/>
      <c r="BP318" s="92"/>
      <c r="BQ318" s="92"/>
      <c r="BR318" s="92" t="s">
        <v>967</v>
      </c>
      <c r="BS318" s="179" t="s">
        <v>29</v>
      </c>
      <c r="BT318" s="45" t="str">
        <f t="shared" si="160"/>
        <v>Yes</v>
      </c>
      <c r="BU318" s="45" t="str">
        <f t="shared" si="161"/>
        <v>No</v>
      </c>
      <c r="BV318" s="45" t="str">
        <f t="shared" si="162"/>
        <v>No</v>
      </c>
      <c r="BW318" s="179"/>
      <c r="BX318" s="179"/>
      <c r="BY318" s="179"/>
      <c r="BZ318" s="179"/>
      <c r="CA318" s="179"/>
      <c r="CB318" s="179"/>
      <c r="CC318" s="46" t="s">
        <v>490</v>
      </c>
      <c r="CD318" s="46" t="s">
        <v>71</v>
      </c>
      <c r="CE318" s="46" t="s">
        <v>783</v>
      </c>
      <c r="CF318" s="46">
        <v>1</v>
      </c>
      <c r="CG318" s="179"/>
      <c r="CH318" s="179"/>
      <c r="CI318" s="179"/>
      <c r="CJ318" s="179"/>
      <c r="CK318" s="179"/>
      <c r="CL318" s="179"/>
      <c r="CM318" s="179"/>
      <c r="CN318" s="179"/>
      <c r="CO318" s="179"/>
      <c r="CP318" s="179"/>
      <c r="CQ318" s="179"/>
      <c r="CR318" s="179"/>
      <c r="CS318" s="179"/>
      <c r="CT318" s="179"/>
      <c r="CU318" s="179"/>
      <c r="CV318" s="179"/>
      <c r="CW318" s="179"/>
      <c r="CX318" s="179"/>
      <c r="CY318" s="179"/>
      <c r="CZ318" s="179"/>
      <c r="DA318" s="179"/>
      <c r="DB318" s="179"/>
      <c r="DC318" s="179"/>
      <c r="DD318" s="179"/>
      <c r="DE318" s="179"/>
      <c r="DF318" s="179"/>
      <c r="DG318" s="179"/>
      <c r="DH318" s="179"/>
      <c r="DI318" s="179"/>
      <c r="DJ318" s="179"/>
      <c r="DK318" s="34"/>
      <c r="DL318" s="179"/>
      <c r="DM318" s="179"/>
      <c r="DN318" s="179"/>
      <c r="DO318" s="179"/>
      <c r="DP318" s="179"/>
      <c r="DQ318" s="179"/>
      <c r="DR318" s="179"/>
      <c r="DS318" s="179"/>
      <c r="DT318" s="179"/>
      <c r="DU318" s="179"/>
      <c r="DV318" s="179"/>
      <c r="DW318" s="179"/>
      <c r="DX318" s="179"/>
      <c r="DY318" s="179"/>
      <c r="DZ318" s="8"/>
    </row>
    <row r="319" spans="1:130" s="5" customFormat="1" ht="14.25" customHeight="1">
      <c r="A319" s="45">
        <v>2006</v>
      </c>
      <c r="B319" s="46" t="s">
        <v>210</v>
      </c>
      <c r="C319" s="47">
        <v>2016</v>
      </c>
      <c r="D319" s="47" t="s">
        <v>219</v>
      </c>
      <c r="E319" s="46" t="s">
        <v>238</v>
      </c>
      <c r="F319" s="46">
        <v>4</v>
      </c>
      <c r="G319" s="34">
        <v>110858</v>
      </c>
      <c r="H319" s="46" t="s">
        <v>249</v>
      </c>
      <c r="I319" s="46">
        <v>1</v>
      </c>
      <c r="J319" s="46">
        <v>5</v>
      </c>
      <c r="K319" s="49" t="s">
        <v>2244</v>
      </c>
      <c r="L319" s="49" t="s">
        <v>30</v>
      </c>
      <c r="M319" s="49" t="s">
        <v>29</v>
      </c>
      <c r="N319" s="49" t="s">
        <v>512</v>
      </c>
      <c r="O319" s="49">
        <v>2016</v>
      </c>
      <c r="P319" s="49" t="s">
        <v>31</v>
      </c>
      <c r="Q319" s="49" t="s">
        <v>29</v>
      </c>
      <c r="R319" s="49">
        <v>3</v>
      </c>
      <c r="S319" s="179">
        <v>60</v>
      </c>
      <c r="T319" s="49">
        <v>4</v>
      </c>
      <c r="U319" s="49">
        <v>80</v>
      </c>
      <c r="V319" s="179" t="s">
        <v>792</v>
      </c>
      <c r="W319" s="49">
        <v>3</v>
      </c>
      <c r="X319" s="49">
        <v>60</v>
      </c>
      <c r="Y319" s="179" t="s">
        <v>29</v>
      </c>
      <c r="Z319" s="179" t="s">
        <v>35</v>
      </c>
      <c r="AA319" s="179" t="s">
        <v>29</v>
      </c>
      <c r="AB319" s="179" t="s">
        <v>29</v>
      </c>
      <c r="AC319" s="46" t="s">
        <v>114</v>
      </c>
      <c r="AD319" s="46" t="s">
        <v>27</v>
      </c>
      <c r="AE319" s="46" t="s">
        <v>89</v>
      </c>
      <c r="AF319" s="46" t="s">
        <v>29</v>
      </c>
      <c r="AG319" s="52">
        <v>28010</v>
      </c>
      <c r="AH319" s="52">
        <v>25553</v>
      </c>
      <c r="AI319" s="52">
        <v>25553</v>
      </c>
      <c r="AJ319" s="175">
        <v>37.299999999999997</v>
      </c>
      <c r="AK319" s="53">
        <v>74.599999999999994</v>
      </c>
      <c r="AL319" s="175">
        <v>50.94</v>
      </c>
      <c r="AM319" s="175">
        <v>50.94</v>
      </c>
      <c r="AN319" s="179">
        <v>101.88</v>
      </c>
      <c r="AO319" s="179">
        <v>34.159999999999997</v>
      </c>
      <c r="AP319" s="176">
        <v>2457</v>
      </c>
      <c r="AQ319" s="102">
        <v>8.8000000000000007</v>
      </c>
      <c r="AR319" s="102">
        <v>257</v>
      </c>
      <c r="AS319" s="102">
        <v>1</v>
      </c>
      <c r="AT319" s="102">
        <v>173</v>
      </c>
      <c r="AU319" s="102">
        <v>0.7</v>
      </c>
      <c r="AV319" s="102">
        <v>32</v>
      </c>
      <c r="AW319" s="102">
        <v>0.1</v>
      </c>
      <c r="AX319" s="176">
        <v>2572</v>
      </c>
      <c r="AY319" s="102">
        <v>10.1</v>
      </c>
      <c r="AZ319" s="176">
        <v>1719</v>
      </c>
      <c r="BA319" s="102">
        <v>6.7</v>
      </c>
      <c r="BB319" s="102">
        <v>853</v>
      </c>
      <c r="BC319" s="102">
        <v>3.3</v>
      </c>
      <c r="BD319" s="102">
        <v>190</v>
      </c>
      <c r="BE319" s="102">
        <v>0.7</v>
      </c>
      <c r="BF319" s="102">
        <v>2963</v>
      </c>
      <c r="BG319" s="102">
        <v>11.6</v>
      </c>
      <c r="BH319" s="178">
        <v>3349</v>
      </c>
      <c r="BI319" s="92">
        <v>13.2</v>
      </c>
      <c r="BJ319" s="102">
        <v>1931</v>
      </c>
      <c r="BK319" s="102">
        <v>7.6</v>
      </c>
      <c r="BL319" s="102">
        <v>1386</v>
      </c>
      <c r="BM319" s="102">
        <v>5.5</v>
      </c>
      <c r="BN319" s="102"/>
      <c r="BO319" s="92"/>
      <c r="BP319" s="92"/>
      <c r="BQ319" s="92"/>
      <c r="BR319" s="92" t="s">
        <v>967</v>
      </c>
      <c r="BS319" s="179" t="s">
        <v>29</v>
      </c>
      <c r="BT319" s="45" t="str">
        <f t="shared" si="160"/>
        <v>Yes</v>
      </c>
      <c r="BU319" s="45" t="str">
        <f t="shared" si="161"/>
        <v>Yes</v>
      </c>
      <c r="BV319" s="45" t="str">
        <f t="shared" si="162"/>
        <v>Yes</v>
      </c>
      <c r="BW319" s="179"/>
      <c r="BX319" s="179"/>
      <c r="BY319" s="179"/>
      <c r="BZ319" s="179"/>
      <c r="CA319" s="179"/>
      <c r="CB319" s="179"/>
      <c r="CC319" s="46" t="s">
        <v>490</v>
      </c>
      <c r="CD319" s="46" t="s">
        <v>71</v>
      </c>
      <c r="CE319" s="46" t="s">
        <v>783</v>
      </c>
      <c r="CF319" s="46">
        <v>1</v>
      </c>
      <c r="CG319" s="179"/>
      <c r="CH319" s="179"/>
      <c r="CI319" s="179"/>
      <c r="CJ319" s="179"/>
      <c r="CK319" s="179"/>
      <c r="CL319" s="179"/>
      <c r="CM319" s="179"/>
      <c r="CN319" s="179"/>
      <c r="CO319" s="179"/>
      <c r="CP319" s="179"/>
      <c r="CQ319" s="179"/>
      <c r="CR319" s="179"/>
      <c r="CS319" s="179"/>
      <c r="CT319" s="179"/>
      <c r="CU319" s="179"/>
      <c r="CV319" s="179"/>
      <c r="CW319" s="179"/>
      <c r="CX319" s="179"/>
      <c r="CY319" s="179"/>
      <c r="CZ319" s="179"/>
      <c r="DA319" s="179"/>
      <c r="DB319" s="179"/>
      <c r="DC319" s="179"/>
      <c r="DD319" s="179"/>
      <c r="DE319" s="179"/>
      <c r="DF319" s="179"/>
      <c r="DG319" s="179"/>
      <c r="DH319" s="179"/>
      <c r="DI319" s="179"/>
      <c r="DJ319" s="179"/>
      <c r="DK319" s="34"/>
      <c r="DL319" s="179"/>
      <c r="DM319" s="179"/>
      <c r="DN319" s="179"/>
      <c r="DO319" s="179"/>
      <c r="DP319" s="179"/>
      <c r="DQ319" s="179"/>
      <c r="DR319" s="179"/>
      <c r="DS319" s="179"/>
      <c r="DT319" s="179"/>
      <c r="DU319" s="179"/>
      <c r="DV319" s="179"/>
      <c r="DW319" s="179"/>
      <c r="DX319" s="179"/>
      <c r="DY319" s="179"/>
      <c r="DZ319" s="8"/>
    </row>
    <row r="320" spans="1:130" s="5" customFormat="1" ht="14.25" hidden="1" customHeight="1">
      <c r="A320" s="45">
        <v>1346</v>
      </c>
      <c r="B320" s="46" t="s">
        <v>292</v>
      </c>
      <c r="C320" s="47">
        <v>1995</v>
      </c>
      <c r="D320" s="47" t="s">
        <v>306</v>
      </c>
      <c r="E320" s="46" t="s">
        <v>224</v>
      </c>
      <c r="F320" s="46">
        <v>1</v>
      </c>
      <c r="G320" s="48">
        <v>85000</v>
      </c>
      <c r="H320" s="46" t="s">
        <v>249</v>
      </c>
      <c r="I320" s="46">
        <v>1</v>
      </c>
      <c r="J320" s="47">
        <v>6</v>
      </c>
      <c r="K320" s="45" t="s">
        <v>323</v>
      </c>
      <c r="L320" s="45" t="s">
        <v>40</v>
      </c>
      <c r="M320" s="49" t="s">
        <v>35</v>
      </c>
      <c r="N320" s="49" t="s">
        <v>512</v>
      </c>
      <c r="O320" s="49"/>
      <c r="P320" s="45" t="s">
        <v>31</v>
      </c>
      <c r="Q320" s="49" t="s">
        <v>29</v>
      </c>
      <c r="R320" s="49">
        <v>4</v>
      </c>
      <c r="S320" s="50">
        <f t="shared" ref="S320:S351" si="168">(R320/J320)*100</f>
        <v>66.666666666666657</v>
      </c>
      <c r="T320" s="49">
        <v>0</v>
      </c>
      <c r="U320" s="50">
        <f t="shared" ref="U320:U351" si="169">(T320/J320)*100</f>
        <v>0</v>
      </c>
      <c r="V320" s="45"/>
      <c r="W320" s="49">
        <v>0</v>
      </c>
      <c r="X320" s="50">
        <f t="shared" ref="X320:X351" si="170">(W320/J320)*100</f>
        <v>0</v>
      </c>
      <c r="Y320" s="51" t="str">
        <f t="shared" ref="Y320:Y351" si="171">IF(L320="M","No", IF(P320="n/a","No",IF(P320="white","No","Yes")))</f>
        <v>No</v>
      </c>
      <c r="Z320" s="45" t="s">
        <v>35</v>
      </c>
      <c r="AA320" s="45" t="s">
        <v>23</v>
      </c>
      <c r="AB320" s="45" t="s">
        <v>23</v>
      </c>
      <c r="AC320" s="47" t="s">
        <v>267</v>
      </c>
      <c r="AD320" s="46" t="s">
        <v>163</v>
      </c>
      <c r="AE320" s="46" t="s">
        <v>228</v>
      </c>
      <c r="AF320" s="46" t="s">
        <v>35</v>
      </c>
      <c r="AG320" s="103"/>
      <c r="AH320" s="52">
        <v>8926</v>
      </c>
      <c r="AI320" s="52">
        <v>9691</v>
      </c>
      <c r="AJ320" s="108">
        <v>35.1</v>
      </c>
      <c r="AK320" s="104">
        <v>70.2</v>
      </c>
      <c r="AL320" s="108">
        <v>58.2</v>
      </c>
      <c r="AM320" s="108"/>
      <c r="AN320" s="53">
        <f t="shared" ref="AN320:AN351" si="172">AL320/(1/(I320+1))</f>
        <v>116.4</v>
      </c>
      <c r="AO320" s="53">
        <v>25.6</v>
      </c>
      <c r="AP320" s="108"/>
      <c r="AQ320" s="108"/>
      <c r="AR320" s="108"/>
      <c r="AS320" s="108"/>
      <c r="AT320" s="108"/>
      <c r="AU320" s="108"/>
      <c r="AV320" s="108"/>
      <c r="AW320" s="108"/>
      <c r="AX320" s="108"/>
      <c r="AY320" s="108"/>
      <c r="AZ320" s="108"/>
      <c r="BA320" s="108"/>
      <c r="BB320" s="108"/>
      <c r="BC320" s="108"/>
      <c r="BD320" s="108"/>
      <c r="BE320" s="108"/>
      <c r="BF320" s="108"/>
      <c r="BG320" s="108"/>
      <c r="BH320" s="108"/>
      <c r="BI320" s="108"/>
      <c r="BJ320" s="108"/>
      <c r="BK320" s="108"/>
      <c r="BL320" s="108"/>
      <c r="BM320" s="108"/>
      <c r="BN320" s="108">
        <v>35.1</v>
      </c>
      <c r="BO320" s="102">
        <f>AI320-AH320</f>
        <v>765</v>
      </c>
      <c r="BP320" s="102">
        <f>BO320/AH320 *100</f>
        <v>8.5704682948689221</v>
      </c>
      <c r="BQ320" s="102" t="str">
        <f>IF(AND((AH320*(BN320/100))&gt;(AI320*(AL320/100)),  AJ320 &lt;&gt;  BN320), "yes", "no")</f>
        <v>no</v>
      </c>
      <c r="BR320" s="108"/>
      <c r="BS320" s="54" t="s">
        <v>29</v>
      </c>
      <c r="BT320" s="45" t="str">
        <f t="shared" si="160"/>
        <v>Yes</v>
      </c>
      <c r="BU320" s="45" t="str">
        <f t="shared" si="161"/>
        <v>Yes</v>
      </c>
      <c r="BV320" s="45" t="str">
        <f t="shared" si="162"/>
        <v>No</v>
      </c>
      <c r="BW320" s="55">
        <f t="shared" ref="BW320:BW331" si="173">(139040/(139040+74019))*100</f>
        <v>65.258918891011405</v>
      </c>
      <c r="BX320" s="55"/>
      <c r="BY320" s="55">
        <v>61.003918891011409</v>
      </c>
      <c r="BZ320" s="55"/>
      <c r="CA320" s="45">
        <v>1996</v>
      </c>
      <c r="CB320" s="55" t="s">
        <v>23</v>
      </c>
      <c r="CC320" s="46" t="s">
        <v>281</v>
      </c>
      <c r="CD320" s="46" t="s">
        <v>151</v>
      </c>
      <c r="CE320" s="46" t="s">
        <v>783</v>
      </c>
      <c r="CF320" s="46">
        <v>2</v>
      </c>
      <c r="CG320" s="46" t="str">
        <f t="shared" ref="CG320:CG351" si="174">IF(CD320="Primary (decisive)", "Yes", "No")</f>
        <v>Yes</v>
      </c>
      <c r="CH320" s="46" t="s">
        <v>35</v>
      </c>
      <c r="CI320" s="56">
        <v>25</v>
      </c>
      <c r="CJ320" s="46">
        <v>50</v>
      </c>
      <c r="CK320" s="46" t="s">
        <v>23</v>
      </c>
      <c r="CL320" s="49" t="s">
        <v>29</v>
      </c>
      <c r="CM320" s="50">
        <v>0</v>
      </c>
      <c r="CN320" s="50"/>
      <c r="CO320" s="50"/>
      <c r="CP320" s="46" t="s">
        <v>23</v>
      </c>
      <c r="CQ320" s="46" t="s">
        <v>24</v>
      </c>
      <c r="CR320" s="46">
        <v>11</v>
      </c>
      <c r="CS320" s="46" t="s">
        <v>854</v>
      </c>
      <c r="CT320" s="46" t="s">
        <v>856</v>
      </c>
      <c r="CU320" s="46" t="s">
        <v>29</v>
      </c>
      <c r="CV320" s="46" t="s">
        <v>23</v>
      </c>
      <c r="CW320" s="46" t="s">
        <v>23</v>
      </c>
      <c r="CX320" s="49"/>
      <c r="CY320" s="49" t="s">
        <v>295</v>
      </c>
      <c r="CZ320" s="49">
        <v>0</v>
      </c>
      <c r="DA320" s="49">
        <v>0</v>
      </c>
      <c r="DB320" s="64"/>
      <c r="DC320" s="58"/>
      <c r="DD320" s="58"/>
      <c r="DE320" s="58"/>
      <c r="DF320" s="58"/>
      <c r="DG320" s="58"/>
      <c r="DH320" s="58"/>
      <c r="DI320" s="45"/>
      <c r="DJ320" s="59"/>
      <c r="DK320" s="65"/>
      <c r="DL320" s="58"/>
      <c r="DM320" s="58"/>
      <c r="DN320" s="58"/>
      <c r="DO320" s="58"/>
      <c r="DP320" s="82"/>
      <c r="DQ320" s="45"/>
      <c r="DR320" s="58"/>
      <c r="DS320" s="58"/>
      <c r="DT320" s="58"/>
      <c r="DU320" s="55"/>
      <c r="DV320" s="105"/>
      <c r="DW320" s="58"/>
      <c r="DX320" s="53"/>
      <c r="DY320" s="58"/>
      <c r="DZ320" s="63"/>
    </row>
    <row r="321" spans="1:130" s="5" customFormat="1" ht="14.25" hidden="1" customHeight="1">
      <c r="A321" s="45">
        <v>1345</v>
      </c>
      <c r="B321" s="46" t="s">
        <v>292</v>
      </c>
      <c r="C321" s="47">
        <v>1996</v>
      </c>
      <c r="D321" s="47" t="s">
        <v>306</v>
      </c>
      <c r="E321" s="46" t="s">
        <v>224</v>
      </c>
      <c r="F321" s="46">
        <v>4</v>
      </c>
      <c r="G321" s="48">
        <v>85000</v>
      </c>
      <c r="H321" s="46" t="s">
        <v>249</v>
      </c>
      <c r="I321" s="46">
        <v>1</v>
      </c>
      <c r="J321" s="47">
        <v>1</v>
      </c>
      <c r="K321" s="45" t="s">
        <v>323</v>
      </c>
      <c r="L321" s="45" t="s">
        <v>40</v>
      </c>
      <c r="M321" s="49" t="s">
        <v>35</v>
      </c>
      <c r="N321" s="49" t="s">
        <v>513</v>
      </c>
      <c r="O321" s="49"/>
      <c r="P321" s="45" t="s">
        <v>31</v>
      </c>
      <c r="Q321" s="49" t="s">
        <v>29</v>
      </c>
      <c r="R321" s="49">
        <v>1</v>
      </c>
      <c r="S321" s="50">
        <f t="shared" si="168"/>
        <v>100</v>
      </c>
      <c r="T321" s="49">
        <v>0</v>
      </c>
      <c r="U321" s="50">
        <f t="shared" si="169"/>
        <v>0</v>
      </c>
      <c r="V321" s="45"/>
      <c r="W321" s="49">
        <v>0</v>
      </c>
      <c r="X321" s="50">
        <f t="shared" si="170"/>
        <v>0</v>
      </c>
      <c r="Y321" s="51" t="str">
        <f t="shared" si="171"/>
        <v>No</v>
      </c>
      <c r="Z321" s="49" t="s">
        <v>29</v>
      </c>
      <c r="AA321" s="49" t="s">
        <v>29</v>
      </c>
      <c r="AB321" s="45" t="s">
        <v>35</v>
      </c>
      <c r="AC321" s="47" t="s">
        <v>151</v>
      </c>
      <c r="AD321" s="46" t="s">
        <v>152</v>
      </c>
      <c r="AE321" s="46" t="s">
        <v>89</v>
      </c>
      <c r="AF321" s="46" t="s">
        <v>29</v>
      </c>
      <c r="AG321" s="103"/>
      <c r="AH321" s="52">
        <v>13630</v>
      </c>
      <c r="AI321" s="52">
        <v>13630</v>
      </c>
      <c r="AJ321" s="108">
        <v>100</v>
      </c>
      <c r="AK321" s="104">
        <v>200</v>
      </c>
      <c r="AL321" s="108">
        <v>100</v>
      </c>
      <c r="AM321" s="108"/>
      <c r="AN321" s="53">
        <f t="shared" si="172"/>
        <v>200</v>
      </c>
      <c r="AO321" s="53" t="s">
        <v>23</v>
      </c>
      <c r="AP321" s="108"/>
      <c r="AQ321" s="108"/>
      <c r="AR321" s="108"/>
      <c r="AS321" s="108"/>
      <c r="AT321" s="108"/>
      <c r="AU321" s="108"/>
      <c r="AV321" s="108"/>
      <c r="AW321" s="108"/>
      <c r="AX321" s="108"/>
      <c r="AY321" s="108"/>
      <c r="AZ321" s="108"/>
      <c r="BA321" s="108"/>
      <c r="BB321" s="108"/>
      <c r="BC321" s="108"/>
      <c r="BD321" s="108"/>
      <c r="BE321" s="108"/>
      <c r="BF321" s="108"/>
      <c r="BG321" s="108"/>
      <c r="BH321" s="108"/>
      <c r="BI321" s="108"/>
      <c r="BJ321" s="108"/>
      <c r="BK321" s="108"/>
      <c r="BL321" s="108"/>
      <c r="BM321" s="108"/>
      <c r="BN321" s="108"/>
      <c r="BO321" s="108"/>
      <c r="BP321" s="108"/>
      <c r="BQ321" s="108"/>
      <c r="BR321" s="108"/>
      <c r="BS321" s="54" t="s">
        <v>23</v>
      </c>
      <c r="BT321" s="45" t="str">
        <f t="shared" si="160"/>
        <v>No</v>
      </c>
      <c r="BU321" s="45" t="str">
        <f t="shared" si="161"/>
        <v>No</v>
      </c>
      <c r="BV321" s="45" t="str">
        <f t="shared" si="162"/>
        <v>No</v>
      </c>
      <c r="BW321" s="55">
        <f t="shared" si="173"/>
        <v>65.258918891011405</v>
      </c>
      <c r="BX321" s="55"/>
      <c r="BY321" s="55">
        <v>61.003918891011409</v>
      </c>
      <c r="BZ321" s="55"/>
      <c r="CA321" s="45">
        <v>1996</v>
      </c>
      <c r="CB321" s="55" t="s">
        <v>23</v>
      </c>
      <c r="CC321" s="46" t="s">
        <v>281</v>
      </c>
      <c r="CD321" s="46" t="s">
        <v>151</v>
      </c>
      <c r="CE321" s="46" t="s">
        <v>783</v>
      </c>
      <c r="CF321" s="46">
        <v>2</v>
      </c>
      <c r="CG321" s="46" t="str">
        <f t="shared" si="174"/>
        <v>Yes</v>
      </c>
      <c r="CH321" s="46" t="s">
        <v>35</v>
      </c>
      <c r="CI321" s="56">
        <v>25</v>
      </c>
      <c r="CJ321" s="46">
        <v>50</v>
      </c>
      <c r="CK321" s="46" t="s">
        <v>23</v>
      </c>
      <c r="CL321" s="49" t="s">
        <v>29</v>
      </c>
      <c r="CM321" s="50">
        <v>0</v>
      </c>
      <c r="CN321" s="50"/>
      <c r="CO321" s="50"/>
      <c r="CP321" s="46" t="s">
        <v>23</v>
      </c>
      <c r="CQ321" s="46" t="s">
        <v>24</v>
      </c>
      <c r="CR321" s="46">
        <v>11</v>
      </c>
      <c r="CS321" s="46" t="s">
        <v>854</v>
      </c>
      <c r="CT321" s="46" t="s">
        <v>856</v>
      </c>
      <c r="CU321" s="46" t="s">
        <v>29</v>
      </c>
      <c r="CV321" s="46" t="s">
        <v>23</v>
      </c>
      <c r="CW321" s="46" t="s">
        <v>23</v>
      </c>
      <c r="CX321" s="49"/>
      <c r="CY321" s="49" t="s">
        <v>295</v>
      </c>
      <c r="CZ321" s="49">
        <v>0</v>
      </c>
      <c r="DA321" s="49">
        <v>0</v>
      </c>
      <c r="DB321" s="64"/>
      <c r="DC321" s="58"/>
      <c r="DD321" s="58"/>
      <c r="DE321" s="58"/>
      <c r="DF321" s="58"/>
      <c r="DG321" s="58"/>
      <c r="DH321" s="58"/>
      <c r="DI321" s="45"/>
      <c r="DJ321" s="59"/>
      <c r="DK321" s="65"/>
      <c r="DL321" s="58"/>
      <c r="DM321" s="58"/>
      <c r="DN321" s="58"/>
      <c r="DO321" s="58"/>
      <c r="DP321" s="82"/>
      <c r="DQ321" s="45"/>
      <c r="DR321" s="58"/>
      <c r="DS321" s="58"/>
      <c r="DT321" s="58"/>
      <c r="DU321" s="55"/>
      <c r="DV321" s="105"/>
      <c r="DW321" s="58"/>
      <c r="DX321" s="53"/>
      <c r="DY321" s="58"/>
      <c r="DZ321" s="63"/>
    </row>
    <row r="322" spans="1:130" s="5" customFormat="1" ht="14.25" hidden="1" customHeight="1">
      <c r="A322" s="45">
        <v>1341</v>
      </c>
      <c r="B322" s="46" t="s">
        <v>292</v>
      </c>
      <c r="C322" s="47">
        <v>1996</v>
      </c>
      <c r="D322" s="47" t="s">
        <v>91</v>
      </c>
      <c r="E322" s="46" t="s">
        <v>92</v>
      </c>
      <c r="F322" s="46">
        <v>4</v>
      </c>
      <c r="G322" s="48">
        <v>85000</v>
      </c>
      <c r="H322" s="46" t="s">
        <v>249</v>
      </c>
      <c r="I322" s="46">
        <v>1</v>
      </c>
      <c r="J322" s="47">
        <v>1</v>
      </c>
      <c r="K322" s="45" t="s">
        <v>327</v>
      </c>
      <c r="L322" s="45" t="s">
        <v>40</v>
      </c>
      <c r="M322" s="49" t="s">
        <v>35</v>
      </c>
      <c r="N322" s="49" t="s">
        <v>513</v>
      </c>
      <c r="O322" s="49"/>
      <c r="P322" s="45" t="s">
        <v>31</v>
      </c>
      <c r="Q322" s="49" t="s">
        <v>29</v>
      </c>
      <c r="R322" s="49">
        <v>1</v>
      </c>
      <c r="S322" s="50">
        <f t="shared" si="168"/>
        <v>100</v>
      </c>
      <c r="T322" s="49">
        <v>0</v>
      </c>
      <c r="U322" s="50">
        <f t="shared" si="169"/>
        <v>0</v>
      </c>
      <c r="V322" s="45"/>
      <c r="W322" s="49">
        <v>0</v>
      </c>
      <c r="X322" s="50">
        <f t="shared" si="170"/>
        <v>0</v>
      </c>
      <c r="Y322" s="51" t="str">
        <f t="shared" si="171"/>
        <v>No</v>
      </c>
      <c r="Z322" s="45" t="s">
        <v>29</v>
      </c>
      <c r="AA322" s="49" t="s">
        <v>29</v>
      </c>
      <c r="AB322" s="45" t="s">
        <v>35</v>
      </c>
      <c r="AC322" s="47" t="s">
        <v>151</v>
      </c>
      <c r="AD322" s="46" t="s">
        <v>152</v>
      </c>
      <c r="AE322" s="46" t="s">
        <v>73</v>
      </c>
      <c r="AF322" s="46" t="s">
        <v>29</v>
      </c>
      <c r="AG322" s="103"/>
      <c r="AH322" s="52">
        <v>10334</v>
      </c>
      <c r="AI322" s="52">
        <v>10334</v>
      </c>
      <c r="AJ322" s="108">
        <v>100</v>
      </c>
      <c r="AK322" s="104">
        <v>200</v>
      </c>
      <c r="AL322" s="108">
        <v>100</v>
      </c>
      <c r="AM322" s="108"/>
      <c r="AN322" s="53">
        <f t="shared" si="172"/>
        <v>200</v>
      </c>
      <c r="AO322" s="53" t="s">
        <v>23</v>
      </c>
      <c r="AP322" s="108"/>
      <c r="AQ322" s="108"/>
      <c r="AR322" s="108"/>
      <c r="AS322" s="108"/>
      <c r="AT322" s="108"/>
      <c r="AU322" s="108"/>
      <c r="AV322" s="108"/>
      <c r="AW322" s="108"/>
      <c r="AX322" s="108"/>
      <c r="AY322" s="108"/>
      <c r="AZ322" s="108"/>
      <c r="BA322" s="108"/>
      <c r="BB322" s="108"/>
      <c r="BC322" s="108"/>
      <c r="BD322" s="108"/>
      <c r="BE322" s="108"/>
      <c r="BF322" s="108"/>
      <c r="BG322" s="108"/>
      <c r="BH322" s="108"/>
      <c r="BI322" s="108"/>
      <c r="BJ322" s="108"/>
      <c r="BK322" s="108"/>
      <c r="BL322" s="108"/>
      <c r="BM322" s="108"/>
      <c r="BN322" s="108"/>
      <c r="BO322" s="108"/>
      <c r="BP322" s="108"/>
      <c r="BQ322" s="108"/>
      <c r="BR322" s="108"/>
      <c r="BS322" s="54" t="s">
        <v>23</v>
      </c>
      <c r="BT322" s="45" t="str">
        <f t="shared" si="160"/>
        <v>No</v>
      </c>
      <c r="BU322" s="45" t="str">
        <f t="shared" si="161"/>
        <v>No</v>
      </c>
      <c r="BV322" s="45" t="str">
        <f t="shared" si="162"/>
        <v>No</v>
      </c>
      <c r="BW322" s="55">
        <f t="shared" si="173"/>
        <v>65.258918891011405</v>
      </c>
      <c r="BX322" s="55"/>
      <c r="BY322" s="55">
        <v>61.003918891011409</v>
      </c>
      <c r="BZ322" s="55"/>
      <c r="CA322" s="45">
        <v>1996</v>
      </c>
      <c r="CB322" s="55" t="s">
        <v>23</v>
      </c>
      <c r="CC322" s="46" t="s">
        <v>281</v>
      </c>
      <c r="CD322" s="46" t="s">
        <v>151</v>
      </c>
      <c r="CE322" s="46" t="s">
        <v>783</v>
      </c>
      <c r="CF322" s="46">
        <v>2</v>
      </c>
      <c r="CG322" s="46" t="str">
        <f t="shared" si="174"/>
        <v>Yes</v>
      </c>
      <c r="CH322" s="46" t="s">
        <v>35</v>
      </c>
      <c r="CI322" s="56">
        <v>25</v>
      </c>
      <c r="CJ322" s="46">
        <v>50</v>
      </c>
      <c r="CK322" s="46" t="s">
        <v>23</v>
      </c>
      <c r="CL322" s="49" t="s">
        <v>29</v>
      </c>
      <c r="CM322" s="50">
        <v>0</v>
      </c>
      <c r="CN322" s="50"/>
      <c r="CO322" s="50"/>
      <c r="CP322" s="46" t="s">
        <v>23</v>
      </c>
      <c r="CQ322" s="46" t="s">
        <v>24</v>
      </c>
      <c r="CR322" s="46">
        <v>11</v>
      </c>
      <c r="CS322" s="46" t="s">
        <v>854</v>
      </c>
      <c r="CT322" s="46" t="s">
        <v>856</v>
      </c>
      <c r="CU322" s="46" t="s">
        <v>29</v>
      </c>
      <c r="CV322" s="46" t="s">
        <v>23</v>
      </c>
      <c r="CW322" s="46" t="s">
        <v>23</v>
      </c>
      <c r="CX322" s="49"/>
      <c r="CY322" s="49" t="s">
        <v>295</v>
      </c>
      <c r="CZ322" s="49">
        <v>0</v>
      </c>
      <c r="DA322" s="49">
        <v>0</v>
      </c>
      <c r="DB322" s="64"/>
      <c r="DC322" s="58"/>
      <c r="DD322" s="58"/>
      <c r="DE322" s="58"/>
      <c r="DF322" s="58"/>
      <c r="DG322" s="58"/>
      <c r="DH322" s="58"/>
      <c r="DI322" s="45"/>
      <c r="DJ322" s="59"/>
      <c r="DK322" s="65"/>
      <c r="DL322" s="58"/>
      <c r="DM322" s="58"/>
      <c r="DN322" s="58"/>
      <c r="DO322" s="58"/>
      <c r="DP322" s="82"/>
      <c r="DQ322" s="45"/>
      <c r="DR322" s="58"/>
      <c r="DS322" s="58"/>
      <c r="DT322" s="58"/>
      <c r="DU322" s="55"/>
      <c r="DV322" s="105"/>
      <c r="DW322" s="58"/>
      <c r="DX322" s="53"/>
      <c r="DY322" s="58"/>
      <c r="DZ322" s="63"/>
    </row>
    <row r="323" spans="1:130" s="5" customFormat="1" ht="14.25" hidden="1" customHeight="1">
      <c r="A323" s="45">
        <v>1342</v>
      </c>
      <c r="B323" s="46" t="s">
        <v>292</v>
      </c>
      <c r="C323" s="47">
        <v>1996</v>
      </c>
      <c r="D323" s="47" t="s">
        <v>79</v>
      </c>
      <c r="E323" s="46" t="s">
        <v>80</v>
      </c>
      <c r="F323" s="46">
        <v>4</v>
      </c>
      <c r="G323" s="48">
        <v>85000</v>
      </c>
      <c r="H323" s="46" t="s">
        <v>249</v>
      </c>
      <c r="I323" s="46">
        <v>1</v>
      </c>
      <c r="J323" s="47">
        <v>1</v>
      </c>
      <c r="K323" s="45" t="s">
        <v>328</v>
      </c>
      <c r="L323" s="45" t="s">
        <v>40</v>
      </c>
      <c r="M323" s="49" t="s">
        <v>35</v>
      </c>
      <c r="N323" s="49" t="s">
        <v>513</v>
      </c>
      <c r="O323" s="49"/>
      <c r="P323" s="45" t="s">
        <v>31</v>
      </c>
      <c r="Q323" s="49" t="s">
        <v>29</v>
      </c>
      <c r="R323" s="49">
        <v>1</v>
      </c>
      <c r="S323" s="50">
        <f t="shared" si="168"/>
        <v>100</v>
      </c>
      <c r="T323" s="49">
        <v>0</v>
      </c>
      <c r="U323" s="50">
        <f t="shared" si="169"/>
        <v>0</v>
      </c>
      <c r="V323" s="49"/>
      <c r="W323" s="49">
        <v>0</v>
      </c>
      <c r="X323" s="50">
        <f t="shared" si="170"/>
        <v>0</v>
      </c>
      <c r="Y323" s="51" t="str">
        <f t="shared" si="171"/>
        <v>No</v>
      </c>
      <c r="Z323" s="45" t="s">
        <v>29</v>
      </c>
      <c r="AA323" s="49" t="s">
        <v>29</v>
      </c>
      <c r="AB323" s="45" t="s">
        <v>35</v>
      </c>
      <c r="AC323" s="47" t="s">
        <v>151</v>
      </c>
      <c r="AD323" s="46" t="s">
        <v>152</v>
      </c>
      <c r="AE323" s="46" t="s">
        <v>89</v>
      </c>
      <c r="AF323" s="46" t="s">
        <v>29</v>
      </c>
      <c r="AG323" s="103"/>
      <c r="AH323" s="52">
        <v>8963</v>
      </c>
      <c r="AI323" s="52">
        <v>8963</v>
      </c>
      <c r="AJ323" s="108">
        <v>100</v>
      </c>
      <c r="AK323" s="104">
        <v>200</v>
      </c>
      <c r="AL323" s="108">
        <v>100</v>
      </c>
      <c r="AM323" s="108"/>
      <c r="AN323" s="53">
        <f t="shared" si="172"/>
        <v>200</v>
      </c>
      <c r="AO323" s="53" t="s">
        <v>23</v>
      </c>
      <c r="AP323" s="108"/>
      <c r="AQ323" s="108"/>
      <c r="AR323" s="108"/>
      <c r="AS323" s="108"/>
      <c r="AT323" s="108"/>
      <c r="AU323" s="108"/>
      <c r="AV323" s="108"/>
      <c r="AW323" s="108"/>
      <c r="AX323" s="108"/>
      <c r="AY323" s="108"/>
      <c r="AZ323" s="108"/>
      <c r="BA323" s="108"/>
      <c r="BB323" s="108"/>
      <c r="BC323" s="108"/>
      <c r="BD323" s="108"/>
      <c r="BE323" s="108"/>
      <c r="BF323" s="108"/>
      <c r="BG323" s="108"/>
      <c r="BH323" s="108"/>
      <c r="BI323" s="108"/>
      <c r="BJ323" s="108"/>
      <c r="BK323" s="108"/>
      <c r="BL323" s="108"/>
      <c r="BM323" s="108"/>
      <c r="BN323" s="108"/>
      <c r="BO323" s="108"/>
      <c r="BP323" s="108"/>
      <c r="BQ323" s="108"/>
      <c r="BR323" s="108"/>
      <c r="BS323" s="54" t="s">
        <v>23</v>
      </c>
      <c r="BT323" s="45" t="str">
        <f t="shared" si="160"/>
        <v>No</v>
      </c>
      <c r="BU323" s="45" t="str">
        <f t="shared" si="161"/>
        <v>No</v>
      </c>
      <c r="BV323" s="45" t="str">
        <f t="shared" si="162"/>
        <v>No</v>
      </c>
      <c r="BW323" s="55">
        <f t="shared" si="173"/>
        <v>65.258918891011405</v>
      </c>
      <c r="BX323" s="55"/>
      <c r="BY323" s="55">
        <v>61.003918891011409</v>
      </c>
      <c r="BZ323" s="55"/>
      <c r="CA323" s="45">
        <v>1996</v>
      </c>
      <c r="CB323" s="55" t="s">
        <v>23</v>
      </c>
      <c r="CC323" s="46" t="s">
        <v>281</v>
      </c>
      <c r="CD323" s="46" t="s">
        <v>151</v>
      </c>
      <c r="CE323" s="46" t="s">
        <v>783</v>
      </c>
      <c r="CF323" s="46">
        <v>2</v>
      </c>
      <c r="CG323" s="46" t="str">
        <f t="shared" si="174"/>
        <v>Yes</v>
      </c>
      <c r="CH323" s="46" t="s">
        <v>35</v>
      </c>
      <c r="CI323" s="56">
        <v>25</v>
      </c>
      <c r="CJ323" s="46">
        <v>50</v>
      </c>
      <c r="CK323" s="46" t="s">
        <v>23</v>
      </c>
      <c r="CL323" s="49" t="s">
        <v>29</v>
      </c>
      <c r="CM323" s="50">
        <v>0</v>
      </c>
      <c r="CN323" s="50"/>
      <c r="CO323" s="50"/>
      <c r="CP323" s="46" t="s">
        <v>23</v>
      </c>
      <c r="CQ323" s="46" t="s">
        <v>24</v>
      </c>
      <c r="CR323" s="46">
        <v>11</v>
      </c>
      <c r="CS323" s="46" t="s">
        <v>854</v>
      </c>
      <c r="CT323" s="46" t="s">
        <v>856</v>
      </c>
      <c r="CU323" s="46" t="s">
        <v>29</v>
      </c>
      <c r="CV323" s="46" t="s">
        <v>23</v>
      </c>
      <c r="CW323" s="46" t="s">
        <v>23</v>
      </c>
      <c r="CX323" s="49"/>
      <c r="CY323" s="49" t="s">
        <v>295</v>
      </c>
      <c r="CZ323" s="49">
        <v>0</v>
      </c>
      <c r="DA323" s="49">
        <v>0</v>
      </c>
      <c r="DB323" s="64"/>
      <c r="DC323" s="58"/>
      <c r="DD323" s="58"/>
      <c r="DE323" s="58"/>
      <c r="DF323" s="58"/>
      <c r="DG323" s="58"/>
      <c r="DH323" s="58"/>
      <c r="DI323" s="45"/>
      <c r="DJ323" s="59"/>
      <c r="DK323" s="65"/>
      <c r="DL323" s="58"/>
      <c r="DM323" s="58"/>
      <c r="DN323" s="58"/>
      <c r="DO323" s="58"/>
      <c r="DP323" s="82"/>
      <c r="DQ323" s="45"/>
      <c r="DR323" s="58"/>
      <c r="DS323" s="58"/>
      <c r="DT323" s="58"/>
      <c r="DU323" s="55"/>
      <c r="DV323" s="105"/>
      <c r="DW323" s="58"/>
      <c r="DX323" s="53"/>
      <c r="DY323" s="58"/>
      <c r="DZ323" s="63"/>
    </row>
    <row r="324" spans="1:130" s="5" customFormat="1" ht="14.25" hidden="1" customHeight="1">
      <c r="A324" s="45">
        <v>1343</v>
      </c>
      <c r="B324" s="46" t="s">
        <v>292</v>
      </c>
      <c r="C324" s="47">
        <v>1996</v>
      </c>
      <c r="D324" s="47" t="s">
        <v>100</v>
      </c>
      <c r="E324" s="46" t="s">
        <v>101</v>
      </c>
      <c r="F324" s="46">
        <v>4</v>
      </c>
      <c r="G324" s="48">
        <v>85000</v>
      </c>
      <c r="H324" s="46" t="s">
        <v>249</v>
      </c>
      <c r="I324" s="46">
        <v>1</v>
      </c>
      <c r="J324" s="47">
        <v>3</v>
      </c>
      <c r="K324" s="45" t="s">
        <v>329</v>
      </c>
      <c r="L324" s="45" t="s">
        <v>30</v>
      </c>
      <c r="M324" s="49" t="s">
        <v>29</v>
      </c>
      <c r="N324" s="49" t="s">
        <v>513</v>
      </c>
      <c r="O324" s="49"/>
      <c r="P324" s="45" t="s">
        <v>31</v>
      </c>
      <c r="Q324" s="49" t="s">
        <v>29</v>
      </c>
      <c r="R324" s="49">
        <v>1</v>
      </c>
      <c r="S324" s="50">
        <f t="shared" si="168"/>
        <v>33.333333333333329</v>
      </c>
      <c r="T324" s="49">
        <v>1</v>
      </c>
      <c r="U324" s="50">
        <f t="shared" si="169"/>
        <v>33.333333333333329</v>
      </c>
      <c r="V324" s="49" t="s">
        <v>173</v>
      </c>
      <c r="W324" s="49">
        <v>1</v>
      </c>
      <c r="X324" s="50">
        <f t="shared" si="170"/>
        <v>33.333333333333329</v>
      </c>
      <c r="Y324" s="51" t="str">
        <f t="shared" si="171"/>
        <v>No</v>
      </c>
      <c r="Z324" s="45" t="s">
        <v>29</v>
      </c>
      <c r="AA324" s="49" t="s">
        <v>29</v>
      </c>
      <c r="AB324" s="49" t="s">
        <v>29</v>
      </c>
      <c r="AC324" s="47" t="s">
        <v>151</v>
      </c>
      <c r="AD324" s="46" t="s">
        <v>152</v>
      </c>
      <c r="AE324" s="46" t="s">
        <v>89</v>
      </c>
      <c r="AF324" s="46" t="s">
        <v>29</v>
      </c>
      <c r="AG324" s="107"/>
      <c r="AH324" s="70">
        <f>SUM(10927+4317+1333)</f>
        <v>16577</v>
      </c>
      <c r="AI324" s="70">
        <f>SUM(10927+4317+1333)</f>
        <v>16577</v>
      </c>
      <c r="AJ324" s="108">
        <v>65.92</v>
      </c>
      <c r="AK324" s="104">
        <v>131.84</v>
      </c>
      <c r="AL324" s="108">
        <v>65.92</v>
      </c>
      <c r="AM324" s="108"/>
      <c r="AN324" s="53">
        <f t="shared" si="172"/>
        <v>131.84</v>
      </c>
      <c r="AO324" s="53">
        <v>26.04</v>
      </c>
      <c r="AP324" s="108"/>
      <c r="AQ324" s="108"/>
      <c r="AR324" s="108"/>
      <c r="AS324" s="108"/>
      <c r="AT324" s="108"/>
      <c r="AU324" s="108"/>
      <c r="AV324" s="108"/>
      <c r="AW324" s="108"/>
      <c r="AX324" s="108"/>
      <c r="AY324" s="108"/>
      <c r="AZ324" s="108"/>
      <c r="BA324" s="108"/>
      <c r="BB324" s="108"/>
      <c r="BC324" s="108"/>
      <c r="BD324" s="108"/>
      <c r="BE324" s="108"/>
      <c r="BF324" s="108"/>
      <c r="BG324" s="108"/>
      <c r="BH324" s="108"/>
      <c r="BI324" s="108"/>
      <c r="BJ324" s="108"/>
      <c r="BK324" s="108"/>
      <c r="BL324" s="108"/>
      <c r="BM324" s="108"/>
      <c r="BN324" s="108"/>
      <c r="BO324" s="108"/>
      <c r="BP324" s="108"/>
      <c r="BQ324" s="108"/>
      <c r="BR324" s="108"/>
      <c r="BS324" s="54" t="s">
        <v>29</v>
      </c>
      <c r="BT324" s="45" t="str">
        <f t="shared" si="160"/>
        <v>No</v>
      </c>
      <c r="BU324" s="45" t="str">
        <f t="shared" si="161"/>
        <v>No</v>
      </c>
      <c r="BV324" s="45" t="str">
        <f t="shared" si="162"/>
        <v>No</v>
      </c>
      <c r="BW324" s="55">
        <f t="shared" si="173"/>
        <v>65.258918891011405</v>
      </c>
      <c r="BX324" s="55"/>
      <c r="BY324" s="55">
        <v>61.003918891011409</v>
      </c>
      <c r="BZ324" s="55"/>
      <c r="CA324" s="45">
        <v>1996</v>
      </c>
      <c r="CB324" s="55" t="s">
        <v>23</v>
      </c>
      <c r="CC324" s="46" t="s">
        <v>281</v>
      </c>
      <c r="CD324" s="46" t="s">
        <v>151</v>
      </c>
      <c r="CE324" s="46" t="s">
        <v>783</v>
      </c>
      <c r="CF324" s="46">
        <v>2</v>
      </c>
      <c r="CG324" s="46" t="str">
        <f t="shared" si="174"/>
        <v>Yes</v>
      </c>
      <c r="CH324" s="46" t="s">
        <v>35</v>
      </c>
      <c r="CI324" s="56">
        <v>25</v>
      </c>
      <c r="CJ324" s="46">
        <v>50</v>
      </c>
      <c r="CK324" s="46" t="s">
        <v>23</v>
      </c>
      <c r="CL324" s="49" t="s">
        <v>29</v>
      </c>
      <c r="CM324" s="50">
        <v>0</v>
      </c>
      <c r="CN324" s="50"/>
      <c r="CO324" s="50"/>
      <c r="CP324" s="46" t="s">
        <v>23</v>
      </c>
      <c r="CQ324" s="46" t="s">
        <v>24</v>
      </c>
      <c r="CR324" s="46">
        <v>11</v>
      </c>
      <c r="CS324" s="46" t="s">
        <v>854</v>
      </c>
      <c r="CT324" s="46" t="s">
        <v>856</v>
      </c>
      <c r="CU324" s="46" t="s">
        <v>29</v>
      </c>
      <c r="CV324" s="46" t="s">
        <v>23</v>
      </c>
      <c r="CW324" s="46" t="s">
        <v>23</v>
      </c>
      <c r="CX324" s="49"/>
      <c r="CY324" s="49" t="s">
        <v>295</v>
      </c>
      <c r="CZ324" s="49">
        <v>0</v>
      </c>
      <c r="DA324" s="49">
        <v>0</v>
      </c>
      <c r="DB324" s="64"/>
      <c r="DC324" s="58"/>
      <c r="DD324" s="58"/>
      <c r="DE324" s="58"/>
      <c r="DF324" s="58"/>
      <c r="DG324" s="58"/>
      <c r="DH324" s="58"/>
      <c r="DI324" s="45"/>
      <c r="DJ324" s="59"/>
      <c r="DK324" s="65"/>
      <c r="DL324" s="58"/>
      <c r="DM324" s="58"/>
      <c r="DN324" s="58"/>
      <c r="DO324" s="58"/>
      <c r="DP324" s="82"/>
      <c r="DQ324" s="45"/>
      <c r="DR324" s="58"/>
      <c r="DS324" s="58"/>
      <c r="DT324" s="58"/>
      <c r="DU324" s="55"/>
      <c r="DV324" s="105"/>
      <c r="DW324" s="58"/>
      <c r="DX324" s="53"/>
      <c r="DY324" s="58"/>
      <c r="DZ324" s="63"/>
    </row>
    <row r="325" spans="1:130" s="5" customFormat="1" ht="14.25" hidden="1" customHeight="1">
      <c r="A325" s="45">
        <v>1344</v>
      </c>
      <c r="B325" s="46" t="s">
        <v>292</v>
      </c>
      <c r="C325" s="47">
        <v>1996</v>
      </c>
      <c r="D325" s="47" t="s">
        <v>85</v>
      </c>
      <c r="E325" s="46" t="s">
        <v>86</v>
      </c>
      <c r="F325" s="46">
        <v>4</v>
      </c>
      <c r="G325" s="48">
        <v>85000</v>
      </c>
      <c r="H325" s="46" t="s">
        <v>249</v>
      </c>
      <c r="I325" s="46">
        <v>1</v>
      </c>
      <c r="J325" s="47">
        <v>2</v>
      </c>
      <c r="K325" s="45" t="s">
        <v>330</v>
      </c>
      <c r="L325" s="45" t="s">
        <v>40</v>
      </c>
      <c r="M325" s="49" t="s">
        <v>35</v>
      </c>
      <c r="N325" s="49" t="s">
        <v>512</v>
      </c>
      <c r="O325" s="49"/>
      <c r="P325" s="45" t="s">
        <v>201</v>
      </c>
      <c r="Q325" s="49" t="s">
        <v>35</v>
      </c>
      <c r="R325" s="49">
        <v>1</v>
      </c>
      <c r="S325" s="50">
        <f t="shared" si="168"/>
        <v>50</v>
      </c>
      <c r="T325" s="49">
        <v>1</v>
      </c>
      <c r="U325" s="50">
        <f t="shared" si="169"/>
        <v>50</v>
      </c>
      <c r="V325" s="49" t="s">
        <v>858</v>
      </c>
      <c r="W325" s="49">
        <v>1</v>
      </c>
      <c r="X325" s="50">
        <f t="shared" si="170"/>
        <v>50</v>
      </c>
      <c r="Y325" s="51" t="str">
        <f t="shared" si="171"/>
        <v>Yes</v>
      </c>
      <c r="Z325" s="45" t="s">
        <v>35</v>
      </c>
      <c r="AA325" s="45" t="s">
        <v>23</v>
      </c>
      <c r="AB325" s="45" t="s">
        <v>23</v>
      </c>
      <c r="AC325" s="47" t="s">
        <v>151</v>
      </c>
      <c r="AD325" s="46" t="s">
        <v>152</v>
      </c>
      <c r="AE325" s="46" t="s">
        <v>89</v>
      </c>
      <c r="AF325" s="46" t="s">
        <v>29</v>
      </c>
      <c r="AG325" s="107"/>
      <c r="AH325" s="70">
        <f>SUM(6828+4415)</f>
        <v>11243</v>
      </c>
      <c r="AI325" s="70">
        <f>SUM(6828+4415)</f>
        <v>11243</v>
      </c>
      <c r="AJ325" s="108">
        <v>60.73</v>
      </c>
      <c r="AK325" s="104">
        <v>121.46</v>
      </c>
      <c r="AL325" s="108">
        <v>60.73</v>
      </c>
      <c r="AM325" s="108"/>
      <c r="AN325" s="53">
        <f t="shared" si="172"/>
        <v>121.46</v>
      </c>
      <c r="AO325" s="53">
        <v>39.270000000000003</v>
      </c>
      <c r="AP325" s="108"/>
      <c r="AQ325" s="108"/>
      <c r="AR325" s="108"/>
      <c r="AS325" s="108"/>
      <c r="AT325" s="108"/>
      <c r="AU325" s="108"/>
      <c r="AV325" s="108"/>
      <c r="AW325" s="108"/>
      <c r="AX325" s="108"/>
      <c r="AY325" s="108"/>
      <c r="AZ325" s="108"/>
      <c r="BA325" s="108"/>
      <c r="BB325" s="108"/>
      <c r="BC325" s="108"/>
      <c r="BD325" s="108"/>
      <c r="BE325" s="108"/>
      <c r="BF325" s="108"/>
      <c r="BG325" s="108"/>
      <c r="BH325" s="108"/>
      <c r="BI325" s="108"/>
      <c r="BJ325" s="108"/>
      <c r="BK325" s="108"/>
      <c r="BL325" s="108"/>
      <c r="BM325" s="108"/>
      <c r="BN325" s="108"/>
      <c r="BO325" s="108"/>
      <c r="BP325" s="108"/>
      <c r="BQ325" s="108"/>
      <c r="BR325" s="108"/>
      <c r="BS325" s="54" t="s">
        <v>29</v>
      </c>
      <c r="BT325" s="45" t="str">
        <f t="shared" si="160"/>
        <v>Yes</v>
      </c>
      <c r="BU325" s="45" t="str">
        <f t="shared" si="161"/>
        <v>No</v>
      </c>
      <c r="BV325" s="45" t="str">
        <f t="shared" si="162"/>
        <v>No</v>
      </c>
      <c r="BW325" s="55">
        <f t="shared" si="173"/>
        <v>65.258918891011405</v>
      </c>
      <c r="BX325" s="55"/>
      <c r="BY325" s="55">
        <v>61.003918891011409</v>
      </c>
      <c r="BZ325" s="55"/>
      <c r="CA325" s="45">
        <v>1996</v>
      </c>
      <c r="CB325" s="55" t="s">
        <v>23</v>
      </c>
      <c r="CC325" s="46" t="s">
        <v>281</v>
      </c>
      <c r="CD325" s="46" t="s">
        <v>151</v>
      </c>
      <c r="CE325" s="46" t="s">
        <v>783</v>
      </c>
      <c r="CF325" s="46">
        <v>2</v>
      </c>
      <c r="CG325" s="46" t="str">
        <f t="shared" si="174"/>
        <v>Yes</v>
      </c>
      <c r="CH325" s="46" t="s">
        <v>35</v>
      </c>
      <c r="CI325" s="56">
        <v>25</v>
      </c>
      <c r="CJ325" s="46">
        <v>50</v>
      </c>
      <c r="CK325" s="46" t="s">
        <v>23</v>
      </c>
      <c r="CL325" s="49" t="s">
        <v>29</v>
      </c>
      <c r="CM325" s="50">
        <v>0</v>
      </c>
      <c r="CN325" s="50"/>
      <c r="CO325" s="50"/>
      <c r="CP325" s="46" t="s">
        <v>23</v>
      </c>
      <c r="CQ325" s="46" t="s">
        <v>24</v>
      </c>
      <c r="CR325" s="46">
        <v>11</v>
      </c>
      <c r="CS325" s="46" t="s">
        <v>854</v>
      </c>
      <c r="CT325" s="46" t="s">
        <v>856</v>
      </c>
      <c r="CU325" s="46" t="s">
        <v>29</v>
      </c>
      <c r="CV325" s="46" t="s">
        <v>23</v>
      </c>
      <c r="CW325" s="46" t="s">
        <v>23</v>
      </c>
      <c r="CX325" s="49"/>
      <c r="CY325" s="49" t="s">
        <v>295</v>
      </c>
      <c r="CZ325" s="49">
        <v>0</v>
      </c>
      <c r="DA325" s="49">
        <v>0</v>
      </c>
      <c r="DB325" s="64"/>
      <c r="DC325" s="58"/>
      <c r="DD325" s="58"/>
      <c r="DE325" s="58"/>
      <c r="DF325" s="58"/>
      <c r="DG325" s="58"/>
      <c r="DH325" s="58"/>
      <c r="DI325" s="45"/>
      <c r="DJ325" s="59"/>
      <c r="DK325" s="65"/>
      <c r="DL325" s="58"/>
      <c r="DM325" s="58"/>
      <c r="DN325" s="58"/>
      <c r="DO325" s="58"/>
      <c r="DP325" s="82"/>
      <c r="DQ325" s="45"/>
      <c r="DR325" s="58"/>
      <c r="DS325" s="58"/>
      <c r="DT325" s="58"/>
      <c r="DU325" s="55"/>
      <c r="DV325" s="105"/>
      <c r="DW325" s="58"/>
      <c r="DX325" s="53"/>
      <c r="DY325" s="58"/>
      <c r="DZ325" s="63"/>
    </row>
    <row r="326" spans="1:130" s="5" customFormat="1" ht="14.25" hidden="1" customHeight="1">
      <c r="A326" s="45">
        <v>1336</v>
      </c>
      <c r="B326" s="46" t="s">
        <v>292</v>
      </c>
      <c r="C326" s="47">
        <v>1998</v>
      </c>
      <c r="D326" s="47" t="s">
        <v>76</v>
      </c>
      <c r="E326" s="46" t="s">
        <v>77</v>
      </c>
      <c r="F326" s="46">
        <v>4</v>
      </c>
      <c r="G326" s="48">
        <v>85000</v>
      </c>
      <c r="H326" s="46" t="s">
        <v>249</v>
      </c>
      <c r="I326" s="46">
        <v>1</v>
      </c>
      <c r="J326" s="47">
        <v>4</v>
      </c>
      <c r="K326" s="45" t="s">
        <v>320</v>
      </c>
      <c r="L326" s="45" t="s">
        <v>40</v>
      </c>
      <c r="M326" s="49" t="s">
        <v>35</v>
      </c>
      <c r="N326" s="49" t="s">
        <v>512</v>
      </c>
      <c r="O326" s="49"/>
      <c r="P326" s="45" t="s">
        <v>31</v>
      </c>
      <c r="Q326" s="49" t="s">
        <v>29</v>
      </c>
      <c r="R326" s="49">
        <v>1</v>
      </c>
      <c r="S326" s="50">
        <f t="shared" si="168"/>
        <v>25</v>
      </c>
      <c r="T326" s="49">
        <v>0</v>
      </c>
      <c r="U326" s="50">
        <f t="shared" si="169"/>
        <v>0</v>
      </c>
      <c r="V326" s="45"/>
      <c r="W326" s="49">
        <v>0</v>
      </c>
      <c r="X326" s="50">
        <f t="shared" si="170"/>
        <v>0</v>
      </c>
      <c r="Y326" s="51" t="str">
        <f t="shared" si="171"/>
        <v>No</v>
      </c>
      <c r="Z326" s="45" t="s">
        <v>35</v>
      </c>
      <c r="AA326" s="45" t="s">
        <v>23</v>
      </c>
      <c r="AB326" s="45" t="s">
        <v>23</v>
      </c>
      <c r="AC326" s="47" t="s">
        <v>26</v>
      </c>
      <c r="AD326" s="46" t="s">
        <v>27</v>
      </c>
      <c r="AE326" s="46" t="s">
        <v>73</v>
      </c>
      <c r="AF326" s="46" t="s">
        <v>29</v>
      </c>
      <c r="AG326" s="103"/>
      <c r="AH326" s="52">
        <v>11563</v>
      </c>
      <c r="AI326" s="52">
        <v>17037</v>
      </c>
      <c r="AJ326" s="108">
        <v>41</v>
      </c>
      <c r="AK326" s="104">
        <v>82</v>
      </c>
      <c r="AL326" s="108">
        <v>52.9</v>
      </c>
      <c r="AM326" s="108"/>
      <c r="AN326" s="53">
        <f t="shared" si="172"/>
        <v>105.8</v>
      </c>
      <c r="AO326" s="53">
        <v>40.5</v>
      </c>
      <c r="AP326" s="108"/>
      <c r="AQ326" s="108"/>
      <c r="AR326" s="108"/>
      <c r="AS326" s="108"/>
      <c r="AT326" s="108"/>
      <c r="AU326" s="108"/>
      <c r="AV326" s="108"/>
      <c r="AW326" s="108"/>
      <c r="AX326" s="108"/>
      <c r="AY326" s="108"/>
      <c r="AZ326" s="108"/>
      <c r="BA326" s="108"/>
      <c r="BB326" s="108"/>
      <c r="BC326" s="108"/>
      <c r="BD326" s="108"/>
      <c r="BE326" s="108"/>
      <c r="BF326" s="108"/>
      <c r="BG326" s="108"/>
      <c r="BH326" s="108"/>
      <c r="BI326" s="108"/>
      <c r="BJ326" s="108"/>
      <c r="BK326" s="108"/>
      <c r="BL326" s="108"/>
      <c r="BM326" s="108"/>
      <c r="BN326" s="108"/>
      <c r="BO326" s="108"/>
      <c r="BP326" s="108"/>
      <c r="BQ326" s="108"/>
      <c r="BR326" s="108"/>
      <c r="BS326" s="54" t="s">
        <v>29</v>
      </c>
      <c r="BT326" s="45" t="str">
        <f t="shared" si="160"/>
        <v>Yes</v>
      </c>
      <c r="BU326" s="45" t="str">
        <f t="shared" si="161"/>
        <v>Yes</v>
      </c>
      <c r="BV326" s="45" t="str">
        <f t="shared" si="162"/>
        <v>Yes</v>
      </c>
      <c r="BW326" s="55">
        <f t="shared" si="173"/>
        <v>65.258918891011405</v>
      </c>
      <c r="BX326" s="55"/>
      <c r="BY326" s="55">
        <v>61.003918891011409</v>
      </c>
      <c r="BZ326" s="55"/>
      <c r="CA326" s="45">
        <v>1996</v>
      </c>
      <c r="CB326" s="55">
        <v>34.602554012541567</v>
      </c>
      <c r="CC326" s="46" t="s">
        <v>281</v>
      </c>
      <c r="CD326" s="46" t="s">
        <v>151</v>
      </c>
      <c r="CE326" s="46" t="s">
        <v>783</v>
      </c>
      <c r="CF326" s="46">
        <v>2</v>
      </c>
      <c r="CG326" s="46" t="str">
        <f t="shared" si="174"/>
        <v>Yes</v>
      </c>
      <c r="CH326" s="46" t="s">
        <v>35</v>
      </c>
      <c r="CI326" s="56">
        <v>25</v>
      </c>
      <c r="CJ326" s="46">
        <v>50</v>
      </c>
      <c r="CK326" s="46" t="s">
        <v>23</v>
      </c>
      <c r="CL326" s="49" t="s">
        <v>29</v>
      </c>
      <c r="CM326" s="50">
        <v>0</v>
      </c>
      <c r="CN326" s="50"/>
      <c r="CO326" s="50"/>
      <c r="CP326" s="46" t="s">
        <v>23</v>
      </c>
      <c r="CQ326" s="46" t="s">
        <v>24</v>
      </c>
      <c r="CR326" s="46">
        <v>11</v>
      </c>
      <c r="CS326" s="46" t="s">
        <v>854</v>
      </c>
      <c r="CT326" s="46" t="s">
        <v>856</v>
      </c>
      <c r="CU326" s="46" t="s">
        <v>29</v>
      </c>
      <c r="CV326" s="46" t="s">
        <v>23</v>
      </c>
      <c r="CW326" s="46" t="s">
        <v>23</v>
      </c>
      <c r="CX326" s="49" t="s">
        <v>928</v>
      </c>
      <c r="CY326" s="49" t="s">
        <v>295</v>
      </c>
      <c r="CZ326" s="49">
        <v>0</v>
      </c>
      <c r="DA326" s="49">
        <v>0</v>
      </c>
      <c r="DB326" s="64">
        <v>49236.25</v>
      </c>
      <c r="DC326" s="58">
        <v>64.914062301657822</v>
      </c>
      <c r="DD326" s="58">
        <v>2.6862829724034629</v>
      </c>
      <c r="DE326" s="58">
        <v>9.5978572697961351</v>
      </c>
      <c r="DF326" s="58">
        <v>18.811089390438955</v>
      </c>
      <c r="DG326" s="58">
        <v>3.9907080657036187</v>
      </c>
      <c r="DH326" s="58">
        <v>35.085937698342171</v>
      </c>
      <c r="DI326" s="45" t="s">
        <v>29</v>
      </c>
      <c r="DJ326" s="59" t="str">
        <f t="shared" ref="DJ326:DJ357" si="175">IF(DH326&lt;50,"N/A",IF(DD326&gt;50,"African American",IF(DE326&gt;50,"Latino",IF(DF326&gt;50,"Asian","No single majority group"))))</f>
        <v>N/A</v>
      </c>
      <c r="DK326" s="65">
        <v>49236.25</v>
      </c>
      <c r="DL326" s="58">
        <v>64.914062301657822</v>
      </c>
      <c r="DM326" s="58">
        <v>4.781756477686077</v>
      </c>
      <c r="DN326" s="58">
        <v>39.532206920542762</v>
      </c>
      <c r="DO326" s="58">
        <v>35.085937698342171</v>
      </c>
      <c r="DP326" s="82">
        <v>49.2</v>
      </c>
      <c r="DQ326" s="83">
        <v>96568.22</v>
      </c>
      <c r="DR326" s="58">
        <v>8.8000000000000007</v>
      </c>
      <c r="DS326" s="58">
        <v>68.099999999999994</v>
      </c>
      <c r="DT326" s="53">
        <v>61.8</v>
      </c>
      <c r="DU326" s="55">
        <v>3.2</v>
      </c>
      <c r="DV326" s="105">
        <v>32.6</v>
      </c>
      <c r="DW326" s="58">
        <v>78.3</v>
      </c>
      <c r="DX326" s="53">
        <v>71.634799999999998</v>
      </c>
      <c r="DY326" s="58">
        <v>41.6036</v>
      </c>
      <c r="DZ326" s="63"/>
    </row>
    <row r="327" spans="1:130" s="5" customFormat="1" ht="14.25" hidden="1" customHeight="1">
      <c r="A327" s="45">
        <v>1337</v>
      </c>
      <c r="B327" s="46" t="s">
        <v>292</v>
      </c>
      <c r="C327" s="47">
        <v>1998</v>
      </c>
      <c r="D327" s="47" t="s">
        <v>94</v>
      </c>
      <c r="E327" s="46" t="s">
        <v>95</v>
      </c>
      <c r="F327" s="46">
        <v>4</v>
      </c>
      <c r="G327" s="48">
        <v>85000</v>
      </c>
      <c r="H327" s="46" t="s">
        <v>249</v>
      </c>
      <c r="I327" s="46">
        <v>1</v>
      </c>
      <c r="J327" s="47">
        <v>5</v>
      </c>
      <c r="K327" s="45" t="s">
        <v>321</v>
      </c>
      <c r="L327" s="45" t="s">
        <v>40</v>
      </c>
      <c r="M327" s="49" t="s">
        <v>35</v>
      </c>
      <c r="N327" s="49" t="s">
        <v>512</v>
      </c>
      <c r="O327" s="49"/>
      <c r="P327" s="45" t="s">
        <v>857</v>
      </c>
      <c r="Q327" s="49" t="s">
        <v>35</v>
      </c>
      <c r="R327" s="49">
        <v>1</v>
      </c>
      <c r="S327" s="50">
        <f t="shared" si="168"/>
        <v>20</v>
      </c>
      <c r="T327" s="49">
        <v>3</v>
      </c>
      <c r="U327" s="50">
        <f t="shared" si="169"/>
        <v>60</v>
      </c>
      <c r="V327" s="49" t="s">
        <v>865</v>
      </c>
      <c r="W327" s="49">
        <v>1</v>
      </c>
      <c r="X327" s="50">
        <f t="shared" si="170"/>
        <v>20</v>
      </c>
      <c r="Y327" s="51" t="str">
        <f t="shared" si="171"/>
        <v>Yes</v>
      </c>
      <c r="Z327" s="45" t="s">
        <v>35</v>
      </c>
      <c r="AA327" s="45" t="s">
        <v>23</v>
      </c>
      <c r="AB327" s="45" t="s">
        <v>23</v>
      </c>
      <c r="AC327" s="47" t="s">
        <v>26</v>
      </c>
      <c r="AD327" s="46" t="s">
        <v>27</v>
      </c>
      <c r="AE327" s="46" t="s">
        <v>73</v>
      </c>
      <c r="AF327" s="46" t="s">
        <v>29</v>
      </c>
      <c r="AG327" s="103"/>
      <c r="AH327" s="52">
        <v>7411</v>
      </c>
      <c r="AI327" s="52">
        <v>10834</v>
      </c>
      <c r="AJ327" s="108">
        <v>46.1</v>
      </c>
      <c r="AK327" s="104">
        <v>92.2</v>
      </c>
      <c r="AL327" s="108">
        <v>51.3</v>
      </c>
      <c r="AM327" s="108"/>
      <c r="AN327" s="53">
        <f t="shared" si="172"/>
        <v>102.6</v>
      </c>
      <c r="AO327" s="53">
        <v>41.2</v>
      </c>
      <c r="AP327" s="108"/>
      <c r="AQ327" s="108"/>
      <c r="AR327" s="108"/>
      <c r="AS327" s="108"/>
      <c r="AT327" s="108"/>
      <c r="AU327" s="108"/>
      <c r="AV327" s="111"/>
      <c r="AW327" s="111"/>
      <c r="AX327" s="108"/>
      <c r="AY327" s="108"/>
      <c r="AZ327" s="108"/>
      <c r="BA327" s="108"/>
      <c r="BB327" s="108"/>
      <c r="BC327" s="108"/>
      <c r="BD327" s="108"/>
      <c r="BE327" s="108"/>
      <c r="BF327" s="108"/>
      <c r="BG327" s="108"/>
      <c r="BH327" s="108"/>
      <c r="BI327" s="108"/>
      <c r="BJ327" s="111"/>
      <c r="BK327" s="111"/>
      <c r="BL327" s="111"/>
      <c r="BM327" s="111"/>
      <c r="BN327" s="108"/>
      <c r="BO327" s="108"/>
      <c r="BP327" s="108"/>
      <c r="BQ327" s="108"/>
      <c r="BR327" s="111"/>
      <c r="BS327" s="54" t="s">
        <v>29</v>
      </c>
      <c r="BT327" s="45" t="str">
        <f t="shared" si="160"/>
        <v>Yes</v>
      </c>
      <c r="BU327" s="45" t="str">
        <f t="shared" si="161"/>
        <v>Yes</v>
      </c>
      <c r="BV327" s="45" t="str">
        <f t="shared" si="162"/>
        <v>Yes</v>
      </c>
      <c r="BW327" s="55">
        <f t="shared" si="173"/>
        <v>65.258918891011405</v>
      </c>
      <c r="BX327" s="55"/>
      <c r="BY327" s="55">
        <v>61.003918891011409</v>
      </c>
      <c r="BZ327" s="55"/>
      <c r="CA327" s="45">
        <v>1996</v>
      </c>
      <c r="CB327" s="55">
        <v>24.681238636412822</v>
      </c>
      <c r="CC327" s="46" t="s">
        <v>281</v>
      </c>
      <c r="CD327" s="46" t="s">
        <v>151</v>
      </c>
      <c r="CE327" s="46" t="s">
        <v>783</v>
      </c>
      <c r="CF327" s="46">
        <v>2</v>
      </c>
      <c r="CG327" s="46" t="str">
        <f t="shared" si="174"/>
        <v>Yes</v>
      </c>
      <c r="CH327" s="46" t="s">
        <v>35</v>
      </c>
      <c r="CI327" s="56">
        <v>25</v>
      </c>
      <c r="CJ327" s="46">
        <v>50</v>
      </c>
      <c r="CK327" s="46" t="s">
        <v>23</v>
      </c>
      <c r="CL327" s="49" t="s">
        <v>29</v>
      </c>
      <c r="CM327" s="50">
        <v>0</v>
      </c>
      <c r="CN327" s="50"/>
      <c r="CO327" s="50"/>
      <c r="CP327" s="46" t="s">
        <v>23</v>
      </c>
      <c r="CQ327" s="46" t="s">
        <v>24</v>
      </c>
      <c r="CR327" s="46">
        <v>11</v>
      </c>
      <c r="CS327" s="46" t="s">
        <v>854</v>
      </c>
      <c r="CT327" s="46" t="s">
        <v>856</v>
      </c>
      <c r="CU327" s="46" t="s">
        <v>29</v>
      </c>
      <c r="CV327" s="46" t="s">
        <v>23</v>
      </c>
      <c r="CW327" s="46" t="s">
        <v>23</v>
      </c>
      <c r="CX327" s="49" t="s">
        <v>928</v>
      </c>
      <c r="CY327" s="49" t="s">
        <v>295</v>
      </c>
      <c r="CZ327" s="49">
        <v>0</v>
      </c>
      <c r="DA327" s="49">
        <v>0</v>
      </c>
      <c r="DB327" s="64">
        <v>43895.69</v>
      </c>
      <c r="DC327" s="58">
        <v>36.471690045195778</v>
      </c>
      <c r="DD327" s="58">
        <v>4.781756477686077</v>
      </c>
      <c r="DE327" s="58">
        <v>39.532206920542762</v>
      </c>
      <c r="DF327" s="58">
        <v>14.610352405896796</v>
      </c>
      <c r="DG327" s="58">
        <v>4.6039941506785809</v>
      </c>
      <c r="DH327" s="58">
        <v>63.528309954804222</v>
      </c>
      <c r="DI327" s="45" t="s">
        <v>35</v>
      </c>
      <c r="DJ327" s="59" t="str">
        <f t="shared" si="175"/>
        <v>No single majority group</v>
      </c>
      <c r="DK327" s="65">
        <v>43895.69</v>
      </c>
      <c r="DL327" s="58">
        <v>36.471690045195778</v>
      </c>
      <c r="DM327" s="58">
        <v>4.5915073255525209</v>
      </c>
      <c r="DN327" s="58">
        <v>44.005463123913586</v>
      </c>
      <c r="DO327" s="58">
        <v>63.528309954804222</v>
      </c>
      <c r="DP327" s="82">
        <v>49.2</v>
      </c>
      <c r="DQ327" s="83">
        <v>96568.22</v>
      </c>
      <c r="DR327" s="58">
        <v>8.8000000000000007</v>
      </c>
      <c r="DS327" s="58">
        <v>68.099999999999994</v>
      </c>
      <c r="DT327" s="53">
        <v>61.8</v>
      </c>
      <c r="DU327" s="55">
        <v>3.2</v>
      </c>
      <c r="DV327" s="105">
        <v>32.6</v>
      </c>
      <c r="DW327" s="58">
        <v>78.3</v>
      </c>
      <c r="DX327" s="53">
        <v>71.634799999999998</v>
      </c>
      <c r="DY327" s="58">
        <v>41.6036</v>
      </c>
      <c r="DZ327" s="63"/>
    </row>
    <row r="328" spans="1:130" s="5" customFormat="1" ht="14.25" hidden="1" customHeight="1">
      <c r="A328" s="45">
        <v>1338</v>
      </c>
      <c r="B328" s="46" t="s">
        <v>292</v>
      </c>
      <c r="C328" s="47">
        <v>1998</v>
      </c>
      <c r="D328" s="47" t="s">
        <v>97</v>
      </c>
      <c r="E328" s="46" t="s">
        <v>98</v>
      </c>
      <c r="F328" s="46">
        <v>4</v>
      </c>
      <c r="G328" s="48">
        <v>85000</v>
      </c>
      <c r="H328" s="46" t="s">
        <v>249</v>
      </c>
      <c r="I328" s="46">
        <v>1</v>
      </c>
      <c r="J328" s="47">
        <v>2</v>
      </c>
      <c r="K328" s="45" t="s">
        <v>324</v>
      </c>
      <c r="L328" s="45" t="s">
        <v>30</v>
      </c>
      <c r="M328" s="49" t="s">
        <v>29</v>
      </c>
      <c r="N328" s="49" t="s">
        <v>513</v>
      </c>
      <c r="O328" s="49"/>
      <c r="P328" s="45" t="s">
        <v>857</v>
      </c>
      <c r="Q328" s="49" t="s">
        <v>35</v>
      </c>
      <c r="R328" s="49">
        <v>0</v>
      </c>
      <c r="S328" s="50">
        <f t="shared" si="168"/>
        <v>0</v>
      </c>
      <c r="T328" s="49">
        <v>2</v>
      </c>
      <c r="U328" s="50">
        <f t="shared" si="169"/>
        <v>100</v>
      </c>
      <c r="V328" s="49" t="s">
        <v>794</v>
      </c>
      <c r="W328" s="49">
        <v>0</v>
      </c>
      <c r="X328" s="50">
        <f t="shared" si="170"/>
        <v>0</v>
      </c>
      <c r="Y328" s="51" t="str">
        <f t="shared" si="171"/>
        <v>No</v>
      </c>
      <c r="Z328" s="45" t="s">
        <v>29</v>
      </c>
      <c r="AA328" s="49" t="s">
        <v>35</v>
      </c>
      <c r="AB328" s="49" t="s">
        <v>29</v>
      </c>
      <c r="AC328" s="47" t="s">
        <v>151</v>
      </c>
      <c r="AD328" s="46" t="s">
        <v>152</v>
      </c>
      <c r="AE328" s="46" t="s">
        <v>73</v>
      </c>
      <c r="AF328" s="46" t="s">
        <v>29</v>
      </c>
      <c r="AG328" s="103"/>
      <c r="AH328" s="52">
        <v>5803</v>
      </c>
      <c r="AI328" s="52">
        <v>5803</v>
      </c>
      <c r="AJ328" s="108">
        <v>73.3</v>
      </c>
      <c r="AK328" s="104">
        <v>146.6</v>
      </c>
      <c r="AL328" s="108">
        <v>73.3</v>
      </c>
      <c r="AM328" s="108"/>
      <c r="AN328" s="53">
        <f t="shared" si="172"/>
        <v>146.6</v>
      </c>
      <c r="AO328" s="53">
        <v>26.7</v>
      </c>
      <c r="AP328" s="108"/>
      <c r="AQ328" s="108"/>
      <c r="AR328" s="108"/>
      <c r="AS328" s="108"/>
      <c r="AT328" s="108"/>
      <c r="AU328" s="108"/>
      <c r="AV328" s="108"/>
      <c r="AW328" s="108"/>
      <c r="AX328" s="108"/>
      <c r="AY328" s="108"/>
      <c r="AZ328" s="108"/>
      <c r="BA328" s="108"/>
      <c r="BB328" s="108"/>
      <c r="BC328" s="108"/>
      <c r="BD328" s="108"/>
      <c r="BE328" s="108"/>
      <c r="BF328" s="108"/>
      <c r="BG328" s="108"/>
      <c r="BH328" s="108"/>
      <c r="BI328" s="108"/>
      <c r="BJ328" s="108"/>
      <c r="BK328" s="108"/>
      <c r="BL328" s="108"/>
      <c r="BM328" s="108"/>
      <c r="BN328" s="108"/>
      <c r="BO328" s="108"/>
      <c r="BP328" s="108"/>
      <c r="BQ328" s="108"/>
      <c r="BR328" s="108"/>
      <c r="BS328" s="54" t="s">
        <v>29</v>
      </c>
      <c r="BT328" s="45" t="str">
        <f t="shared" si="160"/>
        <v>No</v>
      </c>
      <c r="BU328" s="45" t="str">
        <f t="shared" si="161"/>
        <v>No</v>
      </c>
      <c r="BV328" s="45" t="str">
        <f t="shared" si="162"/>
        <v>No</v>
      </c>
      <c r="BW328" s="55">
        <f t="shared" si="173"/>
        <v>65.258918891011405</v>
      </c>
      <c r="BX328" s="55"/>
      <c r="BY328" s="55">
        <v>61.003918891011409</v>
      </c>
      <c r="BZ328" s="55"/>
      <c r="CA328" s="45">
        <v>1996</v>
      </c>
      <c r="CB328" s="55">
        <v>11.528184752917804</v>
      </c>
      <c r="CC328" s="46" t="s">
        <v>281</v>
      </c>
      <c r="CD328" s="46" t="s">
        <v>151</v>
      </c>
      <c r="CE328" s="46" t="s">
        <v>783</v>
      </c>
      <c r="CF328" s="46">
        <v>2</v>
      </c>
      <c r="CG328" s="46" t="str">
        <f t="shared" si="174"/>
        <v>Yes</v>
      </c>
      <c r="CH328" s="46" t="s">
        <v>35</v>
      </c>
      <c r="CI328" s="56">
        <v>25</v>
      </c>
      <c r="CJ328" s="46">
        <v>50</v>
      </c>
      <c r="CK328" s="46" t="s">
        <v>23</v>
      </c>
      <c r="CL328" s="49" t="s">
        <v>29</v>
      </c>
      <c r="CM328" s="50">
        <v>0</v>
      </c>
      <c r="CN328" s="50"/>
      <c r="CO328" s="50"/>
      <c r="CP328" s="46" t="s">
        <v>23</v>
      </c>
      <c r="CQ328" s="46" t="s">
        <v>24</v>
      </c>
      <c r="CR328" s="46">
        <v>11</v>
      </c>
      <c r="CS328" s="46" t="s">
        <v>854</v>
      </c>
      <c r="CT328" s="46" t="s">
        <v>856</v>
      </c>
      <c r="CU328" s="46" t="s">
        <v>29</v>
      </c>
      <c r="CV328" s="46" t="s">
        <v>23</v>
      </c>
      <c r="CW328" s="46" t="s">
        <v>23</v>
      </c>
      <c r="CX328" s="49" t="s">
        <v>928</v>
      </c>
      <c r="CY328" s="49" t="s">
        <v>295</v>
      </c>
      <c r="CZ328" s="49">
        <v>0</v>
      </c>
      <c r="DA328" s="49">
        <v>0</v>
      </c>
      <c r="DB328" s="64">
        <v>50337.5</v>
      </c>
      <c r="DC328" s="58">
        <v>24.77526694810032</v>
      </c>
      <c r="DD328" s="58">
        <v>4.5915073255525209</v>
      </c>
      <c r="DE328" s="58">
        <v>44.005463123913586</v>
      </c>
      <c r="DF328" s="58">
        <v>23.158678917308169</v>
      </c>
      <c r="DG328" s="58">
        <v>3.469083685125407</v>
      </c>
      <c r="DH328" s="58">
        <v>75.224733051899676</v>
      </c>
      <c r="DI328" s="45" t="s">
        <v>35</v>
      </c>
      <c r="DJ328" s="59" t="str">
        <f t="shared" si="175"/>
        <v>No single majority group</v>
      </c>
      <c r="DK328" s="65">
        <v>50337.5</v>
      </c>
      <c r="DL328" s="58">
        <v>24.77526694810032</v>
      </c>
      <c r="DM328" s="58">
        <v>4.9369207003089599</v>
      </c>
      <c r="DN328" s="58">
        <v>34.796601441812562</v>
      </c>
      <c r="DO328" s="58">
        <v>75.224733051899676</v>
      </c>
      <c r="DP328" s="82">
        <v>49.2</v>
      </c>
      <c r="DQ328" s="83">
        <v>96568.22</v>
      </c>
      <c r="DR328" s="58">
        <v>8.8000000000000007</v>
      </c>
      <c r="DS328" s="58">
        <v>68.099999999999994</v>
      </c>
      <c r="DT328" s="53">
        <v>61.8</v>
      </c>
      <c r="DU328" s="55">
        <v>3.2</v>
      </c>
      <c r="DV328" s="105">
        <v>32.6</v>
      </c>
      <c r="DW328" s="58">
        <v>78.3</v>
      </c>
      <c r="DX328" s="53">
        <v>71.634799999999998</v>
      </c>
      <c r="DY328" s="58">
        <v>41.6036</v>
      </c>
      <c r="DZ328" s="63"/>
    </row>
    <row r="329" spans="1:130" s="5" customFormat="1" ht="14.25" hidden="1" customHeight="1">
      <c r="A329" s="45">
        <v>1339</v>
      </c>
      <c r="B329" s="46" t="s">
        <v>292</v>
      </c>
      <c r="C329" s="47">
        <v>1998</v>
      </c>
      <c r="D329" s="47" t="s">
        <v>82</v>
      </c>
      <c r="E329" s="46" t="s">
        <v>83</v>
      </c>
      <c r="F329" s="46">
        <v>4</v>
      </c>
      <c r="G329" s="48">
        <v>85000</v>
      </c>
      <c r="H329" s="46" t="s">
        <v>249</v>
      </c>
      <c r="I329" s="46">
        <v>1</v>
      </c>
      <c r="J329" s="47">
        <v>3</v>
      </c>
      <c r="K329" s="45" t="s">
        <v>325</v>
      </c>
      <c r="L329" s="45" t="s">
        <v>30</v>
      </c>
      <c r="M329" s="49" t="s">
        <v>29</v>
      </c>
      <c r="N329" s="49" t="s">
        <v>513</v>
      </c>
      <c r="O329" s="49"/>
      <c r="P329" s="45" t="s">
        <v>34</v>
      </c>
      <c r="Q329" s="49" t="s">
        <v>35</v>
      </c>
      <c r="R329" s="49">
        <v>0</v>
      </c>
      <c r="S329" s="50">
        <f t="shared" si="168"/>
        <v>0</v>
      </c>
      <c r="T329" s="49">
        <v>1</v>
      </c>
      <c r="U329" s="50">
        <f t="shared" si="169"/>
        <v>33.333333333333329</v>
      </c>
      <c r="V329" s="49" t="s">
        <v>784</v>
      </c>
      <c r="W329" s="49">
        <v>0</v>
      </c>
      <c r="X329" s="50">
        <f t="shared" si="170"/>
        <v>0</v>
      </c>
      <c r="Y329" s="51" t="str">
        <f t="shared" si="171"/>
        <v>No</v>
      </c>
      <c r="Z329" s="45" t="s">
        <v>29</v>
      </c>
      <c r="AA329" s="49" t="s">
        <v>35</v>
      </c>
      <c r="AB329" s="49" t="s">
        <v>29</v>
      </c>
      <c r="AC329" s="47" t="s">
        <v>151</v>
      </c>
      <c r="AD329" s="46" t="s">
        <v>152</v>
      </c>
      <c r="AE329" s="46" t="s">
        <v>73</v>
      </c>
      <c r="AF329" s="46" t="s">
        <v>29</v>
      </c>
      <c r="AG329" s="103"/>
      <c r="AH329" s="52">
        <v>6811</v>
      </c>
      <c r="AI329" s="52">
        <v>6811</v>
      </c>
      <c r="AJ329" s="108">
        <v>72.2</v>
      </c>
      <c r="AK329" s="104">
        <v>144.4</v>
      </c>
      <c r="AL329" s="108">
        <v>72.2</v>
      </c>
      <c r="AM329" s="108"/>
      <c r="AN329" s="53">
        <f t="shared" si="172"/>
        <v>144.4</v>
      </c>
      <c r="AO329" s="53">
        <v>15.8</v>
      </c>
      <c r="AP329" s="108"/>
      <c r="AQ329" s="108"/>
      <c r="AR329" s="108"/>
      <c r="AS329" s="108"/>
      <c r="AT329" s="108"/>
      <c r="AU329" s="108"/>
      <c r="AV329" s="108"/>
      <c r="AW329" s="108"/>
      <c r="AX329" s="108"/>
      <c r="AY329" s="108"/>
      <c r="AZ329" s="108"/>
      <c r="BA329" s="108"/>
      <c r="BB329" s="108"/>
      <c r="BC329" s="108"/>
      <c r="BD329" s="108"/>
      <c r="BE329" s="108"/>
      <c r="BF329" s="108"/>
      <c r="BG329" s="108"/>
      <c r="BH329" s="108"/>
      <c r="BI329" s="108"/>
      <c r="BJ329" s="108"/>
      <c r="BK329" s="108"/>
      <c r="BL329" s="108"/>
      <c r="BM329" s="108"/>
      <c r="BN329" s="108"/>
      <c r="BO329" s="108"/>
      <c r="BP329" s="108"/>
      <c r="BQ329" s="108"/>
      <c r="BR329" s="108"/>
      <c r="BS329" s="54" t="s">
        <v>29</v>
      </c>
      <c r="BT329" s="45" t="str">
        <f t="shared" si="160"/>
        <v>No</v>
      </c>
      <c r="BU329" s="45" t="str">
        <f t="shared" si="161"/>
        <v>No</v>
      </c>
      <c r="BV329" s="45" t="str">
        <f t="shared" si="162"/>
        <v>No</v>
      </c>
      <c r="BW329" s="55">
        <f t="shared" si="173"/>
        <v>65.258918891011405</v>
      </c>
      <c r="BX329" s="55"/>
      <c r="BY329" s="55">
        <v>61.003918891011409</v>
      </c>
      <c r="BZ329" s="55"/>
      <c r="CA329" s="45">
        <v>1996</v>
      </c>
      <c r="CB329" s="55">
        <v>17.536045314109167</v>
      </c>
      <c r="CC329" s="46" t="s">
        <v>281</v>
      </c>
      <c r="CD329" s="46" t="s">
        <v>151</v>
      </c>
      <c r="CE329" s="46" t="s">
        <v>783</v>
      </c>
      <c r="CF329" s="46">
        <v>2</v>
      </c>
      <c r="CG329" s="46" t="str">
        <f t="shared" si="174"/>
        <v>Yes</v>
      </c>
      <c r="CH329" s="46" t="s">
        <v>35</v>
      </c>
      <c r="CI329" s="56">
        <v>25</v>
      </c>
      <c r="CJ329" s="46">
        <v>50</v>
      </c>
      <c r="CK329" s="46" t="s">
        <v>23</v>
      </c>
      <c r="CL329" s="49" t="s">
        <v>29</v>
      </c>
      <c r="CM329" s="50">
        <v>0</v>
      </c>
      <c r="CN329" s="50"/>
      <c r="CO329" s="50"/>
      <c r="CP329" s="46" t="s">
        <v>23</v>
      </c>
      <c r="CQ329" s="46" t="s">
        <v>24</v>
      </c>
      <c r="CR329" s="46">
        <v>11</v>
      </c>
      <c r="CS329" s="46" t="s">
        <v>854</v>
      </c>
      <c r="CT329" s="46" t="s">
        <v>856</v>
      </c>
      <c r="CU329" s="46" t="s">
        <v>29</v>
      </c>
      <c r="CV329" s="46" t="s">
        <v>23</v>
      </c>
      <c r="CW329" s="46" t="s">
        <v>23</v>
      </c>
      <c r="CX329" s="49" t="s">
        <v>928</v>
      </c>
      <c r="CY329" s="49" t="s">
        <v>295</v>
      </c>
      <c r="CZ329" s="49">
        <v>0</v>
      </c>
      <c r="DA329" s="49">
        <v>0</v>
      </c>
      <c r="DB329" s="64">
        <v>38840</v>
      </c>
      <c r="DC329" s="58">
        <v>21.942584963954687</v>
      </c>
      <c r="DD329" s="58">
        <v>4.9369207003089599</v>
      </c>
      <c r="DE329" s="58">
        <v>34.796601441812562</v>
      </c>
      <c r="DF329" s="58">
        <v>34.365345005149329</v>
      </c>
      <c r="DG329" s="58">
        <v>3.9585478887744663</v>
      </c>
      <c r="DH329" s="58">
        <v>78.057415036045313</v>
      </c>
      <c r="DI329" s="45" t="s">
        <v>35</v>
      </c>
      <c r="DJ329" s="59" t="str">
        <f t="shared" si="175"/>
        <v>No single majority group</v>
      </c>
      <c r="DK329" s="65">
        <v>38840</v>
      </c>
      <c r="DL329" s="58">
        <v>21.942584963954687</v>
      </c>
      <c r="DM329" s="58">
        <v>2.4457332689228117</v>
      </c>
      <c r="DN329" s="58">
        <v>12.229747258055813</v>
      </c>
      <c r="DO329" s="58">
        <v>78.057415036045313</v>
      </c>
      <c r="DP329" s="82">
        <v>49.2</v>
      </c>
      <c r="DQ329" s="83">
        <v>96568.22</v>
      </c>
      <c r="DR329" s="58">
        <v>8.8000000000000007</v>
      </c>
      <c r="DS329" s="58">
        <v>68.099999999999994</v>
      </c>
      <c r="DT329" s="53">
        <v>61.8</v>
      </c>
      <c r="DU329" s="55">
        <v>3.2</v>
      </c>
      <c r="DV329" s="105">
        <v>32.6</v>
      </c>
      <c r="DW329" s="58">
        <v>78.3</v>
      </c>
      <c r="DX329" s="53">
        <v>71.634799999999998</v>
      </c>
      <c r="DY329" s="58">
        <v>41.6036</v>
      </c>
      <c r="DZ329" s="63"/>
    </row>
    <row r="330" spans="1:130" s="5" customFormat="1" ht="14.25" hidden="1" customHeight="1">
      <c r="A330" s="45">
        <v>1340</v>
      </c>
      <c r="B330" s="46" t="s">
        <v>292</v>
      </c>
      <c r="C330" s="47">
        <v>1998</v>
      </c>
      <c r="D330" s="47" t="s">
        <v>300</v>
      </c>
      <c r="E330" s="46" t="s">
        <v>236</v>
      </c>
      <c r="F330" s="46">
        <v>4</v>
      </c>
      <c r="G330" s="48">
        <v>85000</v>
      </c>
      <c r="H330" s="46" t="s">
        <v>249</v>
      </c>
      <c r="I330" s="46">
        <v>1</v>
      </c>
      <c r="J330" s="47">
        <v>1</v>
      </c>
      <c r="K330" s="45" t="s">
        <v>326</v>
      </c>
      <c r="L330" s="45" t="s">
        <v>30</v>
      </c>
      <c r="M330" s="49" t="s">
        <v>29</v>
      </c>
      <c r="N330" s="49" t="s">
        <v>513</v>
      </c>
      <c r="O330" s="49"/>
      <c r="P330" s="45" t="s">
        <v>31</v>
      </c>
      <c r="Q330" s="49" t="s">
        <v>29</v>
      </c>
      <c r="R330" s="49">
        <v>0</v>
      </c>
      <c r="S330" s="50">
        <f t="shared" si="168"/>
        <v>0</v>
      </c>
      <c r="T330" s="49">
        <v>0</v>
      </c>
      <c r="U330" s="50">
        <f t="shared" si="169"/>
        <v>0</v>
      </c>
      <c r="V330" s="49"/>
      <c r="W330" s="49">
        <v>0</v>
      </c>
      <c r="X330" s="50">
        <f t="shared" si="170"/>
        <v>0</v>
      </c>
      <c r="Y330" s="51" t="str">
        <f t="shared" si="171"/>
        <v>No</v>
      </c>
      <c r="Z330" s="45" t="s">
        <v>29</v>
      </c>
      <c r="AA330" s="49" t="s">
        <v>29</v>
      </c>
      <c r="AB330" s="49" t="s">
        <v>29</v>
      </c>
      <c r="AC330" s="47" t="s">
        <v>151</v>
      </c>
      <c r="AD330" s="46" t="s">
        <v>152</v>
      </c>
      <c r="AE330" s="46" t="s">
        <v>73</v>
      </c>
      <c r="AF330" s="46" t="s">
        <v>29</v>
      </c>
      <c r="AG330" s="103"/>
      <c r="AH330" s="52">
        <v>7927</v>
      </c>
      <c r="AI330" s="52">
        <v>7927</v>
      </c>
      <c r="AJ330" s="108">
        <v>100</v>
      </c>
      <c r="AK330" s="104">
        <v>200</v>
      </c>
      <c r="AL330" s="108">
        <v>100</v>
      </c>
      <c r="AM330" s="108"/>
      <c r="AN330" s="53">
        <f t="shared" si="172"/>
        <v>200</v>
      </c>
      <c r="AO330" s="53" t="s">
        <v>23</v>
      </c>
      <c r="AP330" s="108"/>
      <c r="AQ330" s="108"/>
      <c r="AR330" s="108"/>
      <c r="AS330" s="108"/>
      <c r="AT330" s="108"/>
      <c r="AU330" s="108"/>
      <c r="AV330" s="108"/>
      <c r="AW330" s="108"/>
      <c r="AX330" s="108"/>
      <c r="AY330" s="108"/>
      <c r="AZ330" s="108"/>
      <c r="BA330" s="108"/>
      <c r="BB330" s="108"/>
      <c r="BC330" s="108"/>
      <c r="BD330" s="108"/>
      <c r="BE330" s="108"/>
      <c r="BF330" s="108"/>
      <c r="BG330" s="108"/>
      <c r="BH330" s="108"/>
      <c r="BI330" s="108"/>
      <c r="BJ330" s="108"/>
      <c r="BK330" s="108"/>
      <c r="BL330" s="108"/>
      <c r="BM330" s="108"/>
      <c r="BN330" s="108"/>
      <c r="BO330" s="108"/>
      <c r="BP330" s="108"/>
      <c r="BQ330" s="108"/>
      <c r="BR330" s="108"/>
      <c r="BS330" s="54" t="s">
        <v>23</v>
      </c>
      <c r="BT330" s="45" t="str">
        <f t="shared" si="160"/>
        <v>No</v>
      </c>
      <c r="BU330" s="45" t="str">
        <f t="shared" si="161"/>
        <v>No</v>
      </c>
      <c r="BV330" s="45" t="str">
        <f t="shared" si="162"/>
        <v>No</v>
      </c>
      <c r="BW330" s="55">
        <f t="shared" si="173"/>
        <v>65.258918891011405</v>
      </c>
      <c r="BX330" s="55"/>
      <c r="BY330" s="55">
        <v>61.003918891011409</v>
      </c>
      <c r="BZ330" s="55"/>
      <c r="CA330" s="45">
        <v>1996</v>
      </c>
      <c r="CB330" s="55">
        <v>12.884813312432422</v>
      </c>
      <c r="CC330" s="46" t="s">
        <v>281</v>
      </c>
      <c r="CD330" s="46" t="s">
        <v>151</v>
      </c>
      <c r="CE330" s="46" t="s">
        <v>783</v>
      </c>
      <c r="CF330" s="46">
        <v>2</v>
      </c>
      <c r="CG330" s="46" t="str">
        <f t="shared" si="174"/>
        <v>Yes</v>
      </c>
      <c r="CH330" s="46" t="s">
        <v>35</v>
      </c>
      <c r="CI330" s="56">
        <v>25</v>
      </c>
      <c r="CJ330" s="46">
        <v>50</v>
      </c>
      <c r="CK330" s="46" t="s">
        <v>23</v>
      </c>
      <c r="CL330" s="49" t="s">
        <v>29</v>
      </c>
      <c r="CM330" s="50">
        <v>0</v>
      </c>
      <c r="CN330" s="50"/>
      <c r="CO330" s="50"/>
      <c r="CP330" s="46" t="s">
        <v>23</v>
      </c>
      <c r="CQ330" s="46" t="s">
        <v>24</v>
      </c>
      <c r="CR330" s="46">
        <v>11</v>
      </c>
      <c r="CS330" s="46" t="s">
        <v>854</v>
      </c>
      <c r="CT330" s="46" t="s">
        <v>856</v>
      </c>
      <c r="CU330" s="46" t="s">
        <v>29</v>
      </c>
      <c r="CV330" s="46" t="s">
        <v>23</v>
      </c>
      <c r="CW330" s="46" t="s">
        <v>23</v>
      </c>
      <c r="CX330" s="49" t="s">
        <v>928</v>
      </c>
      <c r="CY330" s="49" t="s">
        <v>295</v>
      </c>
      <c r="CZ330" s="49">
        <v>0</v>
      </c>
      <c r="DA330" s="49">
        <v>0</v>
      </c>
      <c r="DB330" s="64">
        <v>61522.040000000008</v>
      </c>
      <c r="DC330" s="58">
        <v>72.834377728696907</v>
      </c>
      <c r="DD330" s="58">
        <v>2.4457332689228117</v>
      </c>
      <c r="DE330" s="58">
        <v>12.229747258055813</v>
      </c>
      <c r="DF330" s="58">
        <v>7.9547996132768013</v>
      </c>
      <c r="DG330" s="58">
        <v>4.5353421310476705</v>
      </c>
      <c r="DH330" s="58">
        <v>27.165622271303093</v>
      </c>
      <c r="DI330" s="45" t="s">
        <v>29</v>
      </c>
      <c r="DJ330" s="59" t="str">
        <f t="shared" si="175"/>
        <v>N/A</v>
      </c>
      <c r="DK330" s="65">
        <v>61522.040000000008</v>
      </c>
      <c r="DL330" s="58">
        <v>72.834377728696907</v>
      </c>
      <c r="DM330" s="58">
        <v>3.8176846010131715</v>
      </c>
      <c r="DN330" s="58">
        <v>21.50522418038431</v>
      </c>
      <c r="DO330" s="58">
        <v>27.165622271303093</v>
      </c>
      <c r="DP330" s="82">
        <v>49.2</v>
      </c>
      <c r="DQ330" s="83">
        <v>96568.22</v>
      </c>
      <c r="DR330" s="58">
        <v>8.8000000000000007</v>
      </c>
      <c r="DS330" s="58">
        <v>68.099999999999994</v>
      </c>
      <c r="DT330" s="53">
        <v>61.8</v>
      </c>
      <c r="DU330" s="55">
        <v>3.2</v>
      </c>
      <c r="DV330" s="105">
        <v>32.6</v>
      </c>
      <c r="DW330" s="58">
        <v>78.3</v>
      </c>
      <c r="DX330" s="53">
        <v>71.634799999999998</v>
      </c>
      <c r="DY330" s="58">
        <v>41.6036</v>
      </c>
      <c r="DZ330" s="63"/>
    </row>
    <row r="331" spans="1:130" s="5" customFormat="1" ht="14.25" hidden="1" customHeight="1">
      <c r="A331" s="45">
        <v>1335</v>
      </c>
      <c r="B331" s="46" t="s">
        <v>292</v>
      </c>
      <c r="C331" s="47">
        <v>1998</v>
      </c>
      <c r="D331" s="47" t="s">
        <v>38</v>
      </c>
      <c r="E331" s="46" t="s">
        <v>22</v>
      </c>
      <c r="F331" s="46">
        <v>4</v>
      </c>
      <c r="G331" s="48">
        <v>105000</v>
      </c>
      <c r="H331" s="46" t="s">
        <v>249</v>
      </c>
      <c r="I331" s="46">
        <v>1</v>
      </c>
      <c r="J331" s="47">
        <v>4</v>
      </c>
      <c r="K331" s="45" t="s">
        <v>319</v>
      </c>
      <c r="L331" s="45" t="s">
        <v>30</v>
      </c>
      <c r="M331" s="49" t="s">
        <v>29</v>
      </c>
      <c r="N331" s="49" t="s">
        <v>512</v>
      </c>
      <c r="O331" s="49"/>
      <c r="P331" s="45" t="s">
        <v>857</v>
      </c>
      <c r="Q331" s="49" t="s">
        <v>35</v>
      </c>
      <c r="R331" s="49">
        <v>2</v>
      </c>
      <c r="S331" s="50">
        <f t="shared" si="168"/>
        <v>50</v>
      </c>
      <c r="T331" s="49">
        <v>2</v>
      </c>
      <c r="U331" s="50">
        <f t="shared" si="169"/>
        <v>50</v>
      </c>
      <c r="V331" s="49" t="s">
        <v>794</v>
      </c>
      <c r="W331" s="49">
        <v>1</v>
      </c>
      <c r="X331" s="50">
        <f t="shared" si="170"/>
        <v>25</v>
      </c>
      <c r="Y331" s="51" t="str">
        <f t="shared" si="171"/>
        <v>No</v>
      </c>
      <c r="Z331" s="49" t="s">
        <v>35</v>
      </c>
      <c r="AA331" s="49" t="s">
        <v>23</v>
      </c>
      <c r="AB331" s="49" t="s">
        <v>23</v>
      </c>
      <c r="AC331" s="47" t="s">
        <v>26</v>
      </c>
      <c r="AD331" s="46" t="s">
        <v>27</v>
      </c>
      <c r="AE331" s="46" t="s">
        <v>73</v>
      </c>
      <c r="AF331" s="46" t="s">
        <v>29</v>
      </c>
      <c r="AG331" s="103"/>
      <c r="AH331" s="52">
        <v>121478</v>
      </c>
      <c r="AI331" s="52">
        <v>182879</v>
      </c>
      <c r="AJ331" s="108">
        <v>45.9</v>
      </c>
      <c r="AK331" s="104">
        <v>91.8</v>
      </c>
      <c r="AL331" s="108">
        <v>51.2</v>
      </c>
      <c r="AM331" s="108"/>
      <c r="AN331" s="53">
        <f t="shared" si="172"/>
        <v>102.4</v>
      </c>
      <c r="AO331" s="53">
        <v>37.9</v>
      </c>
      <c r="AP331" s="108"/>
      <c r="AQ331" s="108"/>
      <c r="AR331" s="108"/>
      <c r="AS331" s="108"/>
      <c r="AT331" s="108"/>
      <c r="AU331" s="108"/>
      <c r="AV331" s="108"/>
      <c r="AW331" s="108"/>
      <c r="AX331" s="108"/>
      <c r="AY331" s="108"/>
      <c r="AZ331" s="108"/>
      <c r="BA331" s="108"/>
      <c r="BB331" s="108"/>
      <c r="BC331" s="108"/>
      <c r="BD331" s="108"/>
      <c r="BE331" s="108"/>
      <c r="BF331" s="108"/>
      <c r="BG331" s="108"/>
      <c r="BH331" s="108"/>
      <c r="BI331" s="108"/>
      <c r="BJ331" s="108"/>
      <c r="BK331" s="108"/>
      <c r="BL331" s="108"/>
      <c r="BM331" s="108"/>
      <c r="BN331" s="108"/>
      <c r="BO331" s="108"/>
      <c r="BP331" s="108"/>
      <c r="BQ331" s="108"/>
      <c r="BR331" s="108"/>
      <c r="BS331" s="54" t="s">
        <v>29</v>
      </c>
      <c r="BT331" s="45" t="str">
        <f t="shared" si="160"/>
        <v>Yes</v>
      </c>
      <c r="BU331" s="45" t="str">
        <f t="shared" si="161"/>
        <v>Yes</v>
      </c>
      <c r="BV331" s="45" t="str">
        <f t="shared" si="162"/>
        <v>No</v>
      </c>
      <c r="BW331" s="55">
        <f t="shared" si="173"/>
        <v>65.258918891011405</v>
      </c>
      <c r="BX331" s="55">
        <f>(139040/(139040+74019))*100</f>
        <v>65.258918891011405</v>
      </c>
      <c r="BY331" s="55">
        <v>61.003918891011409</v>
      </c>
      <c r="BZ331" s="55">
        <f>BX331-(0.0851*100/2)</f>
        <v>61.003918891011402</v>
      </c>
      <c r="CA331" s="45">
        <v>1996</v>
      </c>
      <c r="CB331" s="55">
        <v>35.27996375604377</v>
      </c>
      <c r="CC331" s="46" t="s">
        <v>281</v>
      </c>
      <c r="CD331" s="46" t="s">
        <v>151</v>
      </c>
      <c r="CE331" s="46" t="s">
        <v>783</v>
      </c>
      <c r="CF331" s="46">
        <v>2</v>
      </c>
      <c r="CG331" s="46" t="str">
        <f t="shared" si="174"/>
        <v>Yes</v>
      </c>
      <c r="CH331" s="46" t="s">
        <v>35</v>
      </c>
      <c r="CI331" s="56">
        <v>25</v>
      </c>
      <c r="CJ331" s="46">
        <v>50</v>
      </c>
      <c r="CK331" s="46" t="s">
        <v>23</v>
      </c>
      <c r="CL331" s="49" t="s">
        <v>29</v>
      </c>
      <c r="CM331" s="50">
        <v>0</v>
      </c>
      <c r="CN331" s="50"/>
      <c r="CO331" s="50"/>
      <c r="CP331" s="46" t="s">
        <v>23</v>
      </c>
      <c r="CQ331" s="46" t="s">
        <v>23</v>
      </c>
      <c r="CR331" s="46">
        <v>11</v>
      </c>
      <c r="CS331" s="46" t="s">
        <v>854</v>
      </c>
      <c r="CT331" s="46" t="s">
        <v>53</v>
      </c>
      <c r="CU331" s="46" t="s">
        <v>29</v>
      </c>
      <c r="CV331" s="46" t="s">
        <v>23</v>
      </c>
      <c r="CW331" s="46" t="s">
        <v>23</v>
      </c>
      <c r="CX331" s="49" t="s">
        <v>928</v>
      </c>
      <c r="CY331" s="49" t="s">
        <v>295</v>
      </c>
      <c r="CZ331" s="49">
        <v>0</v>
      </c>
      <c r="DA331" s="49">
        <v>0</v>
      </c>
      <c r="DB331" s="64">
        <v>518365.04500000004</v>
      </c>
      <c r="DC331" s="58">
        <v>49.349768559336397</v>
      </c>
      <c r="DD331" s="58">
        <v>3.8176846010131715</v>
      </c>
      <c r="DE331" s="58">
        <v>21.50522418038431</v>
      </c>
      <c r="DF331" s="58">
        <v>21.288581003759621</v>
      </c>
      <c r="DG331" s="58">
        <v>4.0387416555065059</v>
      </c>
      <c r="DH331" s="58">
        <v>50.650231440663603</v>
      </c>
      <c r="DI331" s="45" t="s">
        <v>35</v>
      </c>
      <c r="DJ331" s="59" t="str">
        <f t="shared" si="175"/>
        <v>No single majority group</v>
      </c>
      <c r="DK331" s="65">
        <v>518365.04500000004</v>
      </c>
      <c r="DL331" s="58">
        <v>49.349768559336397</v>
      </c>
      <c r="DM331" s="58">
        <v>2.6862829724034629</v>
      </c>
      <c r="DN331" s="58">
        <v>9.5978572697961351</v>
      </c>
      <c r="DO331" s="58">
        <v>50.650231440663603</v>
      </c>
      <c r="DP331" s="82">
        <v>49.2</v>
      </c>
      <c r="DQ331" s="83">
        <v>96568.22</v>
      </c>
      <c r="DR331" s="58">
        <v>8.8000000000000007</v>
      </c>
      <c r="DS331" s="58">
        <v>68.099999999999994</v>
      </c>
      <c r="DT331" s="53">
        <v>61.8</v>
      </c>
      <c r="DU331" s="105">
        <v>3.2</v>
      </c>
      <c r="DV331" s="105">
        <v>32.6</v>
      </c>
      <c r="DW331" s="58">
        <v>78.3</v>
      </c>
      <c r="DX331" s="53">
        <v>71.634799999999998</v>
      </c>
      <c r="DY331" s="58">
        <v>41.6036</v>
      </c>
      <c r="DZ331" s="63"/>
    </row>
    <row r="332" spans="1:130" s="5" customFormat="1" ht="14.25" hidden="1" customHeight="1">
      <c r="A332" s="45">
        <v>1334</v>
      </c>
      <c r="B332" s="46" t="s">
        <v>292</v>
      </c>
      <c r="C332" s="47">
        <v>2000</v>
      </c>
      <c r="D332" s="47" t="s">
        <v>306</v>
      </c>
      <c r="E332" s="46" t="s">
        <v>224</v>
      </c>
      <c r="F332" s="46">
        <v>4</v>
      </c>
      <c r="G332" s="48">
        <v>85000</v>
      </c>
      <c r="H332" s="46" t="s">
        <v>249</v>
      </c>
      <c r="I332" s="46">
        <v>1</v>
      </c>
      <c r="J332" s="47">
        <v>3</v>
      </c>
      <c r="K332" s="45" t="s">
        <v>323</v>
      </c>
      <c r="L332" s="45" t="s">
        <v>40</v>
      </c>
      <c r="M332" s="49" t="s">
        <v>35</v>
      </c>
      <c r="N332" s="49" t="s">
        <v>513</v>
      </c>
      <c r="O332" s="49"/>
      <c r="P332" s="45" t="s">
        <v>31</v>
      </c>
      <c r="Q332" s="49" t="s">
        <v>29</v>
      </c>
      <c r="R332" s="49">
        <v>2</v>
      </c>
      <c r="S332" s="50">
        <f t="shared" si="168"/>
        <v>66.666666666666657</v>
      </c>
      <c r="T332" s="49">
        <v>0</v>
      </c>
      <c r="U332" s="50">
        <f t="shared" si="169"/>
        <v>0</v>
      </c>
      <c r="V332" s="45"/>
      <c r="W332" s="49">
        <v>0</v>
      </c>
      <c r="X332" s="50">
        <f t="shared" si="170"/>
        <v>0</v>
      </c>
      <c r="Y332" s="51" t="str">
        <f t="shared" si="171"/>
        <v>No</v>
      </c>
      <c r="Z332" s="49" t="s">
        <v>29</v>
      </c>
      <c r="AA332" s="49" t="s">
        <v>29</v>
      </c>
      <c r="AB332" s="45" t="s">
        <v>35</v>
      </c>
      <c r="AC332" s="47" t="s">
        <v>151</v>
      </c>
      <c r="AD332" s="46" t="s">
        <v>168</v>
      </c>
      <c r="AE332" s="46" t="s">
        <v>73</v>
      </c>
      <c r="AF332" s="46" t="s">
        <v>29</v>
      </c>
      <c r="AG332" s="103"/>
      <c r="AH332" s="52">
        <v>21618</v>
      </c>
      <c r="AI332" s="52">
        <v>21618</v>
      </c>
      <c r="AJ332" s="108">
        <v>72.400000000000006</v>
      </c>
      <c r="AK332" s="104">
        <v>144.80000000000001</v>
      </c>
      <c r="AL332" s="111">
        <v>72.400000000000006</v>
      </c>
      <c r="AM332" s="111"/>
      <c r="AN332" s="53">
        <f t="shared" si="172"/>
        <v>144.80000000000001</v>
      </c>
      <c r="AO332" s="53">
        <v>23.7</v>
      </c>
      <c r="AP332" s="111"/>
      <c r="AQ332" s="111"/>
      <c r="AR332" s="111"/>
      <c r="AS332" s="111"/>
      <c r="AT332" s="111"/>
      <c r="AU332" s="111"/>
      <c r="AV332" s="108"/>
      <c r="AW332" s="108"/>
      <c r="AX332" s="111"/>
      <c r="AY332" s="111"/>
      <c r="AZ332" s="111"/>
      <c r="BA332" s="111"/>
      <c r="BB332" s="111"/>
      <c r="BC332" s="111"/>
      <c r="BD332" s="111"/>
      <c r="BE332" s="111"/>
      <c r="BF332" s="111"/>
      <c r="BG332" s="111"/>
      <c r="BH332" s="111"/>
      <c r="BI332" s="111"/>
      <c r="BJ332" s="108"/>
      <c r="BK332" s="108"/>
      <c r="BL332" s="108"/>
      <c r="BM332" s="108"/>
      <c r="BN332" s="108"/>
      <c r="BO332" s="111"/>
      <c r="BP332" s="111"/>
      <c r="BQ332" s="111"/>
      <c r="BR332" s="108"/>
      <c r="BS332" s="54" t="s">
        <v>29</v>
      </c>
      <c r="BT332" s="45" t="str">
        <f t="shared" si="160"/>
        <v>No</v>
      </c>
      <c r="BU332" s="45" t="str">
        <f t="shared" si="161"/>
        <v>No</v>
      </c>
      <c r="BV332" s="45" t="str">
        <f t="shared" si="162"/>
        <v>No</v>
      </c>
      <c r="BW332" s="55">
        <f t="shared" ref="BW332:BW342" si="176">(158718/(158718+86450))*100</f>
        <v>64.738465052535403</v>
      </c>
      <c r="BX332" s="55"/>
      <c r="BY332" s="55">
        <v>64.483465052535394</v>
      </c>
      <c r="BZ332" s="55"/>
      <c r="CA332" s="45">
        <v>2000</v>
      </c>
      <c r="CB332" s="55">
        <f t="shared" ref="CB332:CB351" si="177">((AI332/I332)/DB332)*100</f>
        <v>38.012343725272984</v>
      </c>
      <c r="CC332" s="46" t="s">
        <v>281</v>
      </c>
      <c r="CD332" s="46" t="s">
        <v>151</v>
      </c>
      <c r="CE332" s="46" t="s">
        <v>783</v>
      </c>
      <c r="CF332" s="46">
        <v>2</v>
      </c>
      <c r="CG332" s="46" t="str">
        <f t="shared" si="174"/>
        <v>Yes</v>
      </c>
      <c r="CH332" s="46" t="s">
        <v>35</v>
      </c>
      <c r="CI332" s="56">
        <v>25</v>
      </c>
      <c r="CJ332" s="46">
        <v>50</v>
      </c>
      <c r="CK332" s="46" t="s">
        <v>23</v>
      </c>
      <c r="CL332" s="49" t="s">
        <v>29</v>
      </c>
      <c r="CM332" s="50">
        <v>0</v>
      </c>
      <c r="CN332" s="50"/>
      <c r="CO332" s="50"/>
      <c r="CP332" s="46" t="s">
        <v>23</v>
      </c>
      <c r="CQ332" s="46" t="s">
        <v>24</v>
      </c>
      <c r="CR332" s="46">
        <v>11</v>
      </c>
      <c r="CS332" s="46" t="s">
        <v>854</v>
      </c>
      <c r="CT332" s="46" t="s">
        <v>856</v>
      </c>
      <c r="CU332" s="46" t="s">
        <v>29</v>
      </c>
      <c r="CV332" s="46" t="s">
        <v>23</v>
      </c>
      <c r="CW332" s="46" t="s">
        <v>23</v>
      </c>
      <c r="CX332" s="49" t="s">
        <v>928</v>
      </c>
      <c r="CY332" s="49" t="s">
        <v>295</v>
      </c>
      <c r="CZ332" s="49">
        <v>0</v>
      </c>
      <c r="DA332" s="49">
        <v>0</v>
      </c>
      <c r="DB332" s="64">
        <v>56871</v>
      </c>
      <c r="DC332" s="58">
        <v>66.75</v>
      </c>
      <c r="DD332" s="58">
        <v>2.44</v>
      </c>
      <c r="DE332" s="58">
        <v>10.97</v>
      </c>
      <c r="DF332" s="58">
        <v>15.5</v>
      </c>
      <c r="DG332" s="58">
        <v>5.4315907931986418</v>
      </c>
      <c r="DH332" s="58">
        <v>33.25</v>
      </c>
      <c r="DI332" s="45" t="s">
        <v>29</v>
      </c>
      <c r="DJ332" s="59" t="str">
        <f t="shared" si="175"/>
        <v>N/A</v>
      </c>
      <c r="DK332" s="65">
        <v>56871</v>
      </c>
      <c r="DL332" s="58">
        <v>66.75</v>
      </c>
      <c r="DM332" s="58">
        <v>2.44</v>
      </c>
      <c r="DN332" s="58">
        <v>10.97</v>
      </c>
      <c r="DO332" s="58">
        <v>33.25</v>
      </c>
      <c r="DP332" s="82">
        <v>49.2</v>
      </c>
      <c r="DQ332" s="67">
        <v>96568.22</v>
      </c>
      <c r="DR332" s="58">
        <v>8.8000000000000007</v>
      </c>
      <c r="DS332" s="58">
        <v>68.099999999999994</v>
      </c>
      <c r="DT332" s="53">
        <v>61.8</v>
      </c>
      <c r="DU332" s="55">
        <v>3.2</v>
      </c>
      <c r="DV332" s="50">
        <v>32.6</v>
      </c>
      <c r="DW332" s="58">
        <v>78.3</v>
      </c>
      <c r="DX332" s="53">
        <v>71.634799999999998</v>
      </c>
      <c r="DY332" s="58">
        <v>41.6036</v>
      </c>
      <c r="DZ332" s="63"/>
    </row>
    <row r="333" spans="1:130" s="5" customFormat="1" ht="14.25" hidden="1" customHeight="1">
      <c r="A333" s="45">
        <v>1330</v>
      </c>
      <c r="B333" s="46" t="s">
        <v>292</v>
      </c>
      <c r="C333" s="47">
        <v>2000</v>
      </c>
      <c r="D333" s="47" t="s">
        <v>91</v>
      </c>
      <c r="E333" s="71" t="s">
        <v>92</v>
      </c>
      <c r="F333" s="46">
        <v>4</v>
      </c>
      <c r="G333" s="48">
        <v>85000</v>
      </c>
      <c r="H333" s="46" t="s">
        <v>249</v>
      </c>
      <c r="I333" s="46">
        <v>1</v>
      </c>
      <c r="J333" s="47">
        <v>3</v>
      </c>
      <c r="K333" s="45" t="s">
        <v>316</v>
      </c>
      <c r="L333" s="45" t="s">
        <v>30</v>
      </c>
      <c r="M333" s="49" t="s">
        <v>29</v>
      </c>
      <c r="N333" s="49" t="s">
        <v>512</v>
      </c>
      <c r="O333" s="49"/>
      <c r="P333" s="45" t="s">
        <v>201</v>
      </c>
      <c r="Q333" s="49" t="s">
        <v>35</v>
      </c>
      <c r="R333" s="49">
        <v>2</v>
      </c>
      <c r="S333" s="50">
        <f t="shared" si="168"/>
        <v>66.666666666666657</v>
      </c>
      <c r="T333" s="49">
        <v>3</v>
      </c>
      <c r="U333" s="50">
        <f t="shared" si="169"/>
        <v>100</v>
      </c>
      <c r="V333" s="49" t="s">
        <v>865</v>
      </c>
      <c r="W333" s="49">
        <v>2</v>
      </c>
      <c r="X333" s="50">
        <f t="shared" si="170"/>
        <v>66.666666666666657</v>
      </c>
      <c r="Y333" s="51" t="str">
        <f t="shared" si="171"/>
        <v>No</v>
      </c>
      <c r="Z333" s="49" t="s">
        <v>35</v>
      </c>
      <c r="AA333" s="49" t="s">
        <v>23</v>
      </c>
      <c r="AB333" s="49" t="s">
        <v>23</v>
      </c>
      <c r="AC333" s="47" t="s">
        <v>26</v>
      </c>
      <c r="AD333" s="46" t="s">
        <v>27</v>
      </c>
      <c r="AE333" s="46" t="s">
        <v>89</v>
      </c>
      <c r="AF333" s="46" t="s">
        <v>29</v>
      </c>
      <c r="AG333" s="103"/>
      <c r="AH333" s="52">
        <v>16765</v>
      </c>
      <c r="AI333" s="52">
        <v>22178</v>
      </c>
      <c r="AJ333" s="108">
        <v>48.6</v>
      </c>
      <c r="AK333" s="104">
        <v>97.2</v>
      </c>
      <c r="AL333" s="108">
        <v>55.9</v>
      </c>
      <c r="AM333" s="108"/>
      <c r="AN333" s="53">
        <f t="shared" si="172"/>
        <v>111.8</v>
      </c>
      <c r="AO333" s="53">
        <v>32.9</v>
      </c>
      <c r="AP333" s="108"/>
      <c r="AQ333" s="108"/>
      <c r="AR333" s="108"/>
      <c r="AS333" s="108"/>
      <c r="AT333" s="108"/>
      <c r="AU333" s="108"/>
      <c r="AV333" s="108"/>
      <c r="AW333" s="108"/>
      <c r="AX333" s="108"/>
      <c r="AY333" s="108"/>
      <c r="AZ333" s="108"/>
      <c r="BA333" s="108"/>
      <c r="BB333" s="108"/>
      <c r="BC333" s="108"/>
      <c r="BD333" s="108"/>
      <c r="BE333" s="108"/>
      <c r="BF333" s="108"/>
      <c r="BG333" s="108"/>
      <c r="BH333" s="108"/>
      <c r="BI333" s="108"/>
      <c r="BJ333" s="108"/>
      <c r="BK333" s="108"/>
      <c r="BL333" s="108"/>
      <c r="BM333" s="108"/>
      <c r="BN333" s="108"/>
      <c r="BO333" s="108"/>
      <c r="BP333" s="108"/>
      <c r="BQ333" s="108"/>
      <c r="BR333" s="108"/>
      <c r="BS333" s="54" t="s">
        <v>29</v>
      </c>
      <c r="BT333" s="45" t="str">
        <f t="shared" ref="BT333:BT364" si="178">IF(J333=I333, "No", IF(AJ333/AO333&lt;2, "Yes", "No"))</f>
        <v>Yes</v>
      </c>
      <c r="BU333" s="45" t="str">
        <f t="shared" ref="BU333:BU364" si="179">IF(J333=I333, "No", IF(AJ333/AO333&lt;1.5, "Yes", "No"))</f>
        <v>Yes</v>
      </c>
      <c r="BV333" s="45" t="str">
        <f t="shared" ref="BV333:BV364" si="180">IF(J333=I333, "No", IF((ABS(AJ333-AO333))&lt;(5/I333), "Yes", "No"))</f>
        <v>No</v>
      </c>
      <c r="BW333" s="55">
        <f t="shared" si="176"/>
        <v>64.738465052535403</v>
      </c>
      <c r="BX333" s="55"/>
      <c r="BY333" s="55">
        <v>64.483465052535394</v>
      </c>
      <c r="BZ333" s="55"/>
      <c r="CA333" s="45">
        <v>2000</v>
      </c>
      <c r="CB333" s="55">
        <f t="shared" si="177"/>
        <v>40.333903175353726</v>
      </c>
      <c r="CC333" s="46" t="s">
        <v>281</v>
      </c>
      <c r="CD333" s="46" t="s">
        <v>151</v>
      </c>
      <c r="CE333" s="46" t="s">
        <v>783</v>
      </c>
      <c r="CF333" s="46">
        <v>2</v>
      </c>
      <c r="CG333" s="46" t="str">
        <f t="shared" si="174"/>
        <v>Yes</v>
      </c>
      <c r="CH333" s="46" t="s">
        <v>35</v>
      </c>
      <c r="CI333" s="56">
        <v>25</v>
      </c>
      <c r="CJ333" s="46">
        <v>50</v>
      </c>
      <c r="CK333" s="46" t="s">
        <v>23</v>
      </c>
      <c r="CL333" s="49" t="s">
        <v>29</v>
      </c>
      <c r="CM333" s="50">
        <v>0</v>
      </c>
      <c r="CN333" s="50"/>
      <c r="CO333" s="50"/>
      <c r="CP333" s="46" t="s">
        <v>23</v>
      </c>
      <c r="CQ333" s="46" t="s">
        <v>24</v>
      </c>
      <c r="CR333" s="46">
        <v>11</v>
      </c>
      <c r="CS333" s="46" t="s">
        <v>854</v>
      </c>
      <c r="CT333" s="46" t="s">
        <v>856</v>
      </c>
      <c r="CU333" s="46" t="s">
        <v>29</v>
      </c>
      <c r="CV333" s="46" t="s">
        <v>23</v>
      </c>
      <c r="CW333" s="46" t="s">
        <v>23</v>
      </c>
      <c r="CX333" s="49" t="s">
        <v>928</v>
      </c>
      <c r="CY333" s="49" t="s">
        <v>295</v>
      </c>
      <c r="CZ333" s="49">
        <v>0</v>
      </c>
      <c r="DA333" s="49">
        <v>0</v>
      </c>
      <c r="DB333" s="64">
        <v>54986</v>
      </c>
      <c r="DC333" s="58">
        <v>55.1</v>
      </c>
      <c r="DD333" s="58">
        <v>4.5699999999999994</v>
      </c>
      <c r="DE333" s="58">
        <v>19.29</v>
      </c>
      <c r="DF333" s="58">
        <v>16.68</v>
      </c>
      <c r="DG333" s="58">
        <v>5.8196631869930533</v>
      </c>
      <c r="DH333" s="58">
        <v>44.9</v>
      </c>
      <c r="DI333" s="45" t="s">
        <v>29</v>
      </c>
      <c r="DJ333" s="59" t="str">
        <f t="shared" si="175"/>
        <v>N/A</v>
      </c>
      <c r="DK333" s="65">
        <v>54986</v>
      </c>
      <c r="DL333" s="58">
        <v>55.1</v>
      </c>
      <c r="DM333" s="58">
        <v>4.5699999999999994</v>
      </c>
      <c r="DN333" s="58">
        <v>19.29</v>
      </c>
      <c r="DO333" s="58">
        <v>44.9</v>
      </c>
      <c r="DP333" s="82">
        <v>49.2</v>
      </c>
      <c r="DQ333" s="67">
        <v>96568.22</v>
      </c>
      <c r="DR333" s="58">
        <v>8.8000000000000007</v>
      </c>
      <c r="DS333" s="58">
        <v>68.099999999999994</v>
      </c>
      <c r="DT333" s="53">
        <v>61.8</v>
      </c>
      <c r="DU333" s="55">
        <v>3.2</v>
      </c>
      <c r="DV333" s="50">
        <v>32.6</v>
      </c>
      <c r="DW333" s="58">
        <v>78.3</v>
      </c>
      <c r="DX333" s="53">
        <v>71.634799999999998</v>
      </c>
      <c r="DY333" s="58">
        <v>41.6036</v>
      </c>
      <c r="DZ333" s="63"/>
    </row>
    <row r="334" spans="1:130" s="5" customFormat="1" ht="14.25" hidden="1" customHeight="1">
      <c r="A334" s="45">
        <v>1331</v>
      </c>
      <c r="B334" s="46" t="s">
        <v>292</v>
      </c>
      <c r="C334" s="47">
        <v>2000</v>
      </c>
      <c r="D334" s="47" t="s">
        <v>79</v>
      </c>
      <c r="E334" s="71" t="s">
        <v>80</v>
      </c>
      <c r="F334" s="46">
        <v>4</v>
      </c>
      <c r="G334" s="48">
        <v>85000</v>
      </c>
      <c r="H334" s="46" t="s">
        <v>249</v>
      </c>
      <c r="I334" s="46">
        <v>1</v>
      </c>
      <c r="J334" s="47">
        <v>6</v>
      </c>
      <c r="K334" s="45" t="s">
        <v>308</v>
      </c>
      <c r="L334" s="45" t="s">
        <v>30</v>
      </c>
      <c r="M334" s="49" t="s">
        <v>29</v>
      </c>
      <c r="N334" s="49" t="s">
        <v>512</v>
      </c>
      <c r="O334" s="49"/>
      <c r="P334" s="45" t="s">
        <v>31</v>
      </c>
      <c r="Q334" s="49" t="s">
        <v>29</v>
      </c>
      <c r="R334" s="49">
        <v>0</v>
      </c>
      <c r="S334" s="50">
        <f t="shared" si="168"/>
        <v>0</v>
      </c>
      <c r="T334" s="49">
        <v>2</v>
      </c>
      <c r="U334" s="50">
        <f t="shared" si="169"/>
        <v>33.333333333333329</v>
      </c>
      <c r="V334" s="49" t="s">
        <v>799</v>
      </c>
      <c r="W334" s="49">
        <v>0</v>
      </c>
      <c r="X334" s="50">
        <f t="shared" si="170"/>
        <v>0</v>
      </c>
      <c r="Y334" s="51" t="str">
        <f t="shared" si="171"/>
        <v>No</v>
      </c>
      <c r="Z334" s="49" t="s">
        <v>35</v>
      </c>
      <c r="AA334" s="49" t="s">
        <v>23</v>
      </c>
      <c r="AB334" s="49" t="s">
        <v>23</v>
      </c>
      <c r="AC334" s="47" t="s">
        <v>26</v>
      </c>
      <c r="AD334" s="46" t="s">
        <v>27</v>
      </c>
      <c r="AE334" s="46" t="s">
        <v>89</v>
      </c>
      <c r="AF334" s="46" t="s">
        <v>29</v>
      </c>
      <c r="AG334" s="103"/>
      <c r="AH334" s="52">
        <v>14284</v>
      </c>
      <c r="AI334" s="52">
        <v>22772</v>
      </c>
      <c r="AJ334" s="108">
        <v>42.7</v>
      </c>
      <c r="AK334" s="104">
        <v>85.4</v>
      </c>
      <c r="AL334" s="108">
        <v>60</v>
      </c>
      <c r="AM334" s="108"/>
      <c r="AN334" s="53">
        <f t="shared" si="172"/>
        <v>120</v>
      </c>
      <c r="AO334" s="53">
        <v>27.3</v>
      </c>
      <c r="AP334" s="108"/>
      <c r="AQ334" s="108"/>
      <c r="AR334" s="108"/>
      <c r="AS334" s="108"/>
      <c r="AT334" s="108"/>
      <c r="AU334" s="108"/>
      <c r="AV334" s="108"/>
      <c r="AW334" s="108"/>
      <c r="AX334" s="108"/>
      <c r="AY334" s="108"/>
      <c r="AZ334" s="108"/>
      <c r="BA334" s="108"/>
      <c r="BB334" s="108"/>
      <c r="BC334" s="108"/>
      <c r="BD334" s="108"/>
      <c r="BE334" s="108"/>
      <c r="BF334" s="108"/>
      <c r="BG334" s="108"/>
      <c r="BH334" s="108"/>
      <c r="BI334" s="108"/>
      <c r="BJ334" s="108"/>
      <c r="BK334" s="108"/>
      <c r="BL334" s="108"/>
      <c r="BM334" s="108"/>
      <c r="BN334" s="108"/>
      <c r="BO334" s="108"/>
      <c r="BP334" s="108"/>
      <c r="BQ334" s="108"/>
      <c r="BR334" s="108"/>
      <c r="BS334" s="54" t="s">
        <v>29</v>
      </c>
      <c r="BT334" s="45" t="str">
        <f t="shared" si="178"/>
        <v>Yes</v>
      </c>
      <c r="BU334" s="45" t="str">
        <f t="shared" si="179"/>
        <v>No</v>
      </c>
      <c r="BV334" s="45" t="str">
        <f t="shared" si="180"/>
        <v>No</v>
      </c>
      <c r="BW334" s="55">
        <f t="shared" si="176"/>
        <v>64.738465052535403</v>
      </c>
      <c r="BX334" s="55"/>
      <c r="BY334" s="55">
        <v>64.483465052535394</v>
      </c>
      <c r="BZ334" s="55"/>
      <c r="CA334" s="45">
        <v>2000</v>
      </c>
      <c r="CB334" s="55">
        <f t="shared" si="177"/>
        <v>43.178672329774933</v>
      </c>
      <c r="CC334" s="46" t="s">
        <v>281</v>
      </c>
      <c r="CD334" s="46" t="s">
        <v>151</v>
      </c>
      <c r="CE334" s="46" t="s">
        <v>783</v>
      </c>
      <c r="CF334" s="46">
        <v>2</v>
      </c>
      <c r="CG334" s="46" t="str">
        <f t="shared" si="174"/>
        <v>Yes</v>
      </c>
      <c r="CH334" s="46" t="s">
        <v>35</v>
      </c>
      <c r="CI334" s="56">
        <v>25</v>
      </c>
      <c r="CJ334" s="46">
        <v>50</v>
      </c>
      <c r="CK334" s="46" t="s">
        <v>23</v>
      </c>
      <c r="CL334" s="49" t="s">
        <v>29</v>
      </c>
      <c r="CM334" s="50">
        <v>0</v>
      </c>
      <c r="CN334" s="50"/>
      <c r="CO334" s="50"/>
      <c r="CP334" s="46" t="s">
        <v>23</v>
      </c>
      <c r="CQ334" s="46" t="s">
        <v>24</v>
      </c>
      <c r="CR334" s="46">
        <v>11</v>
      </c>
      <c r="CS334" s="46" t="s">
        <v>854</v>
      </c>
      <c r="CT334" s="46" t="s">
        <v>856</v>
      </c>
      <c r="CU334" s="46" t="s">
        <v>29</v>
      </c>
      <c r="CV334" s="46" t="s">
        <v>23</v>
      </c>
      <c r="CW334" s="46" t="s">
        <v>23</v>
      </c>
      <c r="CX334" s="49" t="s">
        <v>928</v>
      </c>
      <c r="CY334" s="49" t="s">
        <v>295</v>
      </c>
      <c r="CZ334" s="49">
        <v>0</v>
      </c>
      <c r="DA334" s="49">
        <v>0</v>
      </c>
      <c r="DB334" s="64">
        <v>52739</v>
      </c>
      <c r="DC334" s="58">
        <v>35.11</v>
      </c>
      <c r="DD334" s="58">
        <v>4.0599999999999996</v>
      </c>
      <c r="DE334" s="58">
        <v>13.4</v>
      </c>
      <c r="DF334" s="58">
        <v>43.87</v>
      </c>
      <c r="DG334" s="58">
        <v>4.4634900168755571</v>
      </c>
      <c r="DH334" s="58">
        <v>64.89</v>
      </c>
      <c r="DI334" s="45" t="s">
        <v>35</v>
      </c>
      <c r="DJ334" s="59" t="str">
        <f t="shared" si="175"/>
        <v>No single majority group</v>
      </c>
      <c r="DK334" s="65">
        <v>52739</v>
      </c>
      <c r="DL334" s="58">
        <v>35.11</v>
      </c>
      <c r="DM334" s="58">
        <v>4.0599999999999996</v>
      </c>
      <c r="DN334" s="58">
        <v>13.4</v>
      </c>
      <c r="DO334" s="58">
        <v>64.89</v>
      </c>
      <c r="DP334" s="82">
        <v>49.2</v>
      </c>
      <c r="DQ334" s="67">
        <v>96568.22</v>
      </c>
      <c r="DR334" s="58">
        <v>8.8000000000000007</v>
      </c>
      <c r="DS334" s="58">
        <v>68.099999999999994</v>
      </c>
      <c r="DT334" s="53">
        <v>61.8</v>
      </c>
      <c r="DU334" s="55">
        <v>3.2</v>
      </c>
      <c r="DV334" s="50">
        <v>32.6</v>
      </c>
      <c r="DW334" s="58">
        <v>78.3</v>
      </c>
      <c r="DX334" s="53">
        <v>71.634799999999998</v>
      </c>
      <c r="DY334" s="58">
        <v>41.6036</v>
      </c>
      <c r="DZ334" s="63"/>
    </row>
    <row r="335" spans="1:130" s="5" customFormat="1" ht="14.25" hidden="1" customHeight="1">
      <c r="A335" s="45">
        <v>1332</v>
      </c>
      <c r="B335" s="46" t="s">
        <v>292</v>
      </c>
      <c r="C335" s="47">
        <v>2000</v>
      </c>
      <c r="D335" s="47" t="s">
        <v>100</v>
      </c>
      <c r="E335" s="71" t="s">
        <v>101</v>
      </c>
      <c r="F335" s="46">
        <v>4</v>
      </c>
      <c r="G335" s="48">
        <v>85000</v>
      </c>
      <c r="H335" s="46" t="s">
        <v>249</v>
      </c>
      <c r="I335" s="46">
        <v>1</v>
      </c>
      <c r="J335" s="47">
        <v>6</v>
      </c>
      <c r="K335" s="45" t="s">
        <v>317</v>
      </c>
      <c r="L335" s="45" t="s">
        <v>30</v>
      </c>
      <c r="M335" s="49" t="s">
        <v>29</v>
      </c>
      <c r="N335" s="49" t="s">
        <v>512</v>
      </c>
      <c r="O335" s="49"/>
      <c r="P335" s="45" t="s">
        <v>31</v>
      </c>
      <c r="Q335" s="49" t="s">
        <v>29</v>
      </c>
      <c r="R335" s="49">
        <v>1</v>
      </c>
      <c r="S335" s="50">
        <f t="shared" si="168"/>
        <v>16.666666666666664</v>
      </c>
      <c r="T335" s="49">
        <v>0</v>
      </c>
      <c r="U335" s="50">
        <f t="shared" si="169"/>
        <v>0</v>
      </c>
      <c r="V335" s="45"/>
      <c r="W335" s="49">
        <v>0</v>
      </c>
      <c r="X335" s="50">
        <f t="shared" si="170"/>
        <v>0</v>
      </c>
      <c r="Y335" s="51" t="str">
        <f t="shared" si="171"/>
        <v>No</v>
      </c>
      <c r="Z335" s="49" t="s">
        <v>35</v>
      </c>
      <c r="AA335" s="49" t="s">
        <v>23</v>
      </c>
      <c r="AB335" s="49" t="s">
        <v>23</v>
      </c>
      <c r="AC335" s="47" t="s">
        <v>26</v>
      </c>
      <c r="AD335" s="46" t="s">
        <v>27</v>
      </c>
      <c r="AE335" s="46" t="s">
        <v>89</v>
      </c>
      <c r="AF335" s="46" t="s">
        <v>29</v>
      </c>
      <c r="AG335" s="103"/>
      <c r="AH335" s="52">
        <v>18895</v>
      </c>
      <c r="AI335" s="52">
        <v>27244</v>
      </c>
      <c r="AJ335" s="108">
        <v>38.6</v>
      </c>
      <c r="AK335" s="104">
        <v>77.2</v>
      </c>
      <c r="AL335" s="108">
        <v>53.8</v>
      </c>
      <c r="AM335" s="108"/>
      <c r="AN335" s="53">
        <f t="shared" si="172"/>
        <v>107.6</v>
      </c>
      <c r="AO335" s="53">
        <v>32.799999999999997</v>
      </c>
      <c r="AP335" s="108"/>
      <c r="AQ335" s="108"/>
      <c r="AR335" s="108"/>
      <c r="AS335" s="108"/>
      <c r="AT335" s="108"/>
      <c r="AU335" s="108"/>
      <c r="AV335" s="111"/>
      <c r="AW335" s="111"/>
      <c r="AX335" s="108"/>
      <c r="AY335" s="108"/>
      <c r="AZ335" s="108"/>
      <c r="BA335" s="108"/>
      <c r="BB335" s="108"/>
      <c r="BC335" s="108"/>
      <c r="BD335" s="108"/>
      <c r="BE335" s="108"/>
      <c r="BF335" s="108"/>
      <c r="BG335" s="108"/>
      <c r="BH335" s="108"/>
      <c r="BI335" s="108"/>
      <c r="BJ335" s="111"/>
      <c r="BK335" s="111"/>
      <c r="BL335" s="111"/>
      <c r="BM335" s="111"/>
      <c r="BN335" s="108"/>
      <c r="BO335" s="108"/>
      <c r="BP335" s="108"/>
      <c r="BQ335" s="108"/>
      <c r="BR335" s="111"/>
      <c r="BS335" s="54" t="s">
        <v>29</v>
      </c>
      <c r="BT335" s="45" t="str">
        <f t="shared" si="178"/>
        <v>Yes</v>
      </c>
      <c r="BU335" s="45" t="str">
        <f t="shared" si="179"/>
        <v>Yes</v>
      </c>
      <c r="BV335" s="45" t="str">
        <f t="shared" si="180"/>
        <v>No</v>
      </c>
      <c r="BW335" s="55">
        <f t="shared" si="176"/>
        <v>64.738465052535403</v>
      </c>
      <c r="BX335" s="55"/>
      <c r="BY335" s="55">
        <v>64.483465052535394</v>
      </c>
      <c r="BZ335" s="55"/>
      <c r="CA335" s="45">
        <v>2000</v>
      </c>
      <c r="CB335" s="55">
        <f t="shared" si="177"/>
        <v>48.745750581499372</v>
      </c>
      <c r="CC335" s="46" t="s">
        <v>281</v>
      </c>
      <c r="CD335" s="46" t="s">
        <v>151</v>
      </c>
      <c r="CE335" s="46" t="s">
        <v>783</v>
      </c>
      <c r="CF335" s="46">
        <v>2</v>
      </c>
      <c r="CG335" s="46" t="str">
        <f t="shared" si="174"/>
        <v>Yes</v>
      </c>
      <c r="CH335" s="46" t="s">
        <v>35</v>
      </c>
      <c r="CI335" s="56">
        <v>25</v>
      </c>
      <c r="CJ335" s="46">
        <v>50</v>
      </c>
      <c r="CK335" s="46" t="s">
        <v>23</v>
      </c>
      <c r="CL335" s="49" t="s">
        <v>29</v>
      </c>
      <c r="CM335" s="50">
        <v>0</v>
      </c>
      <c r="CN335" s="50"/>
      <c r="CO335" s="50"/>
      <c r="CP335" s="46" t="s">
        <v>23</v>
      </c>
      <c r="CQ335" s="46" t="s">
        <v>24</v>
      </c>
      <c r="CR335" s="46">
        <v>11</v>
      </c>
      <c r="CS335" s="46" t="s">
        <v>854</v>
      </c>
      <c r="CT335" s="46" t="s">
        <v>856</v>
      </c>
      <c r="CU335" s="46" t="s">
        <v>29</v>
      </c>
      <c r="CV335" s="46" t="s">
        <v>23</v>
      </c>
      <c r="CW335" s="46" t="s">
        <v>23</v>
      </c>
      <c r="CX335" s="49" t="s">
        <v>928</v>
      </c>
      <c r="CY335" s="49" t="s">
        <v>295</v>
      </c>
      <c r="CZ335" s="49">
        <v>0</v>
      </c>
      <c r="DA335" s="49">
        <v>0</v>
      </c>
      <c r="DB335" s="64">
        <v>55890</v>
      </c>
      <c r="DC335" s="58">
        <v>66.759999999999991</v>
      </c>
      <c r="DD335" s="58">
        <v>3.38</v>
      </c>
      <c r="DE335" s="58">
        <v>18.68</v>
      </c>
      <c r="DF335" s="58">
        <v>7.08</v>
      </c>
      <c r="DG335" s="58">
        <v>5.4124172481660402</v>
      </c>
      <c r="DH335" s="58">
        <v>33.24</v>
      </c>
      <c r="DI335" s="45" t="s">
        <v>29</v>
      </c>
      <c r="DJ335" s="59" t="str">
        <f t="shared" si="175"/>
        <v>N/A</v>
      </c>
      <c r="DK335" s="65">
        <v>55890</v>
      </c>
      <c r="DL335" s="58">
        <v>66.759999999999991</v>
      </c>
      <c r="DM335" s="58">
        <v>3.38</v>
      </c>
      <c r="DN335" s="58">
        <v>18.68</v>
      </c>
      <c r="DO335" s="58">
        <v>33.24</v>
      </c>
      <c r="DP335" s="82">
        <v>49.2</v>
      </c>
      <c r="DQ335" s="67">
        <v>96568.22</v>
      </c>
      <c r="DR335" s="58">
        <v>8.8000000000000007</v>
      </c>
      <c r="DS335" s="58">
        <v>68.099999999999994</v>
      </c>
      <c r="DT335" s="53">
        <v>61.8</v>
      </c>
      <c r="DU335" s="55">
        <v>3.2</v>
      </c>
      <c r="DV335" s="50">
        <v>32.6</v>
      </c>
      <c r="DW335" s="58">
        <v>78.3</v>
      </c>
      <c r="DX335" s="53">
        <v>71.634799999999998</v>
      </c>
      <c r="DY335" s="58">
        <v>41.6036</v>
      </c>
      <c r="DZ335" s="63"/>
    </row>
    <row r="336" spans="1:130" s="5" customFormat="1" ht="14.25" hidden="1" customHeight="1">
      <c r="A336" s="45">
        <v>1333</v>
      </c>
      <c r="B336" s="46" t="s">
        <v>292</v>
      </c>
      <c r="C336" s="47">
        <v>2000</v>
      </c>
      <c r="D336" s="47" t="s">
        <v>85</v>
      </c>
      <c r="E336" s="71" t="s">
        <v>86</v>
      </c>
      <c r="F336" s="46">
        <v>4</v>
      </c>
      <c r="G336" s="48">
        <v>85000</v>
      </c>
      <c r="H336" s="46" t="s">
        <v>249</v>
      </c>
      <c r="I336" s="46">
        <v>1</v>
      </c>
      <c r="J336" s="47">
        <v>4</v>
      </c>
      <c r="K336" s="45" t="s">
        <v>318</v>
      </c>
      <c r="L336" s="45" t="s">
        <v>30</v>
      </c>
      <c r="M336" s="49" t="s">
        <v>29</v>
      </c>
      <c r="N336" s="49" t="s">
        <v>512</v>
      </c>
      <c r="O336" s="49"/>
      <c r="P336" s="45" t="s">
        <v>31</v>
      </c>
      <c r="Q336" s="49" t="s">
        <v>29</v>
      </c>
      <c r="R336" s="49">
        <v>2</v>
      </c>
      <c r="S336" s="50">
        <f t="shared" si="168"/>
        <v>50</v>
      </c>
      <c r="T336" s="49">
        <v>3</v>
      </c>
      <c r="U336" s="50">
        <f t="shared" si="169"/>
        <v>75</v>
      </c>
      <c r="V336" s="49" t="s">
        <v>791</v>
      </c>
      <c r="W336" s="49">
        <v>2</v>
      </c>
      <c r="X336" s="50">
        <f t="shared" si="170"/>
        <v>50</v>
      </c>
      <c r="Y336" s="51" t="str">
        <f t="shared" si="171"/>
        <v>No</v>
      </c>
      <c r="Z336" s="49" t="s">
        <v>35</v>
      </c>
      <c r="AA336" s="49" t="s">
        <v>23</v>
      </c>
      <c r="AB336" s="49" t="s">
        <v>23</v>
      </c>
      <c r="AC336" s="47" t="s">
        <v>26</v>
      </c>
      <c r="AD336" s="46" t="s">
        <v>27</v>
      </c>
      <c r="AE336" s="46" t="s">
        <v>89</v>
      </c>
      <c r="AF336" s="46" t="s">
        <v>29</v>
      </c>
      <c r="AG336" s="103"/>
      <c r="AH336" s="52">
        <v>16709</v>
      </c>
      <c r="AI336" s="52">
        <v>26590</v>
      </c>
      <c r="AJ336" s="108">
        <v>45.8</v>
      </c>
      <c r="AK336" s="104">
        <v>91.6</v>
      </c>
      <c r="AL336" s="108">
        <v>64.2</v>
      </c>
      <c r="AM336" s="108"/>
      <c r="AN336" s="53">
        <f t="shared" si="172"/>
        <v>128.4</v>
      </c>
      <c r="AO336" s="53">
        <v>23</v>
      </c>
      <c r="AP336" s="108"/>
      <c r="AQ336" s="108"/>
      <c r="AR336" s="108"/>
      <c r="AS336" s="108"/>
      <c r="AT336" s="108"/>
      <c r="AU336" s="108"/>
      <c r="AV336" s="108"/>
      <c r="AW336" s="108"/>
      <c r="AX336" s="108"/>
      <c r="AY336" s="108"/>
      <c r="AZ336" s="108"/>
      <c r="BA336" s="108"/>
      <c r="BB336" s="108"/>
      <c r="BC336" s="108"/>
      <c r="BD336" s="108"/>
      <c r="BE336" s="108"/>
      <c r="BF336" s="108"/>
      <c r="BG336" s="108"/>
      <c r="BH336" s="108"/>
      <c r="BI336" s="108"/>
      <c r="BJ336" s="108"/>
      <c r="BK336" s="108"/>
      <c r="BL336" s="108"/>
      <c r="BM336" s="108"/>
      <c r="BN336" s="108"/>
      <c r="BO336" s="108"/>
      <c r="BP336" s="108"/>
      <c r="BQ336" s="108"/>
      <c r="BR336" s="108"/>
      <c r="BS336" s="54" t="s">
        <v>29</v>
      </c>
      <c r="BT336" s="45" t="str">
        <f t="shared" si="178"/>
        <v>Yes</v>
      </c>
      <c r="BU336" s="45" t="str">
        <f t="shared" si="179"/>
        <v>No</v>
      </c>
      <c r="BV336" s="45" t="str">
        <f t="shared" si="180"/>
        <v>No</v>
      </c>
      <c r="BW336" s="55">
        <f t="shared" si="176"/>
        <v>64.738465052535403</v>
      </c>
      <c r="BX336" s="55"/>
      <c r="BY336" s="55">
        <v>64.483465052535394</v>
      </c>
      <c r="BZ336" s="55"/>
      <c r="CA336" s="45">
        <v>2000</v>
      </c>
      <c r="CB336" s="55">
        <f t="shared" si="177"/>
        <v>49.197920328602883</v>
      </c>
      <c r="CC336" s="46" t="s">
        <v>281</v>
      </c>
      <c r="CD336" s="46" t="s">
        <v>151</v>
      </c>
      <c r="CE336" s="46" t="s">
        <v>783</v>
      </c>
      <c r="CF336" s="46">
        <v>2</v>
      </c>
      <c r="CG336" s="46" t="str">
        <f t="shared" si="174"/>
        <v>Yes</v>
      </c>
      <c r="CH336" s="46" t="s">
        <v>35</v>
      </c>
      <c r="CI336" s="56">
        <v>25</v>
      </c>
      <c r="CJ336" s="46">
        <v>50</v>
      </c>
      <c r="CK336" s="46" t="s">
        <v>23</v>
      </c>
      <c r="CL336" s="49" t="s">
        <v>29</v>
      </c>
      <c r="CM336" s="50">
        <v>0</v>
      </c>
      <c r="CN336" s="50"/>
      <c r="CO336" s="50"/>
      <c r="CP336" s="46" t="s">
        <v>23</v>
      </c>
      <c r="CQ336" s="46" t="s">
        <v>24</v>
      </c>
      <c r="CR336" s="46">
        <v>11</v>
      </c>
      <c r="CS336" s="46" t="s">
        <v>854</v>
      </c>
      <c r="CT336" s="46" t="s">
        <v>856</v>
      </c>
      <c r="CU336" s="46" t="s">
        <v>29</v>
      </c>
      <c r="CV336" s="46" t="s">
        <v>23</v>
      </c>
      <c r="CW336" s="46" t="s">
        <v>23</v>
      </c>
      <c r="CX336" s="49" t="s">
        <v>928</v>
      </c>
      <c r="CY336" s="49" t="s">
        <v>295</v>
      </c>
      <c r="CZ336" s="49">
        <v>0</v>
      </c>
      <c r="DA336" s="49">
        <v>0</v>
      </c>
      <c r="DB336" s="64">
        <v>54047</v>
      </c>
      <c r="DC336" s="58">
        <v>33.22</v>
      </c>
      <c r="DD336" s="58">
        <v>5</v>
      </c>
      <c r="DE336" s="58">
        <v>21.94</v>
      </c>
      <c r="DF336" s="58">
        <v>36.449999999999996</v>
      </c>
      <c r="DG336" s="58">
        <v>4.5737968804929041</v>
      </c>
      <c r="DH336" s="58">
        <v>66.78</v>
      </c>
      <c r="DI336" s="45" t="s">
        <v>35</v>
      </c>
      <c r="DJ336" s="59" t="str">
        <f t="shared" si="175"/>
        <v>No single majority group</v>
      </c>
      <c r="DK336" s="65">
        <v>54047</v>
      </c>
      <c r="DL336" s="58">
        <v>33.22</v>
      </c>
      <c r="DM336" s="58">
        <v>5</v>
      </c>
      <c r="DN336" s="58">
        <v>21.94</v>
      </c>
      <c r="DO336" s="58">
        <v>66.78</v>
      </c>
      <c r="DP336" s="82">
        <v>49.2</v>
      </c>
      <c r="DQ336" s="67">
        <v>96568.22</v>
      </c>
      <c r="DR336" s="58">
        <v>8.8000000000000007</v>
      </c>
      <c r="DS336" s="58">
        <v>68.099999999999994</v>
      </c>
      <c r="DT336" s="53">
        <v>61.8</v>
      </c>
      <c r="DU336" s="55">
        <v>3.2</v>
      </c>
      <c r="DV336" s="50">
        <v>32.6</v>
      </c>
      <c r="DW336" s="58">
        <v>78.3</v>
      </c>
      <c r="DX336" s="53">
        <v>71.634799999999998</v>
      </c>
      <c r="DY336" s="58">
        <v>41.6036</v>
      </c>
      <c r="DZ336" s="63"/>
    </row>
    <row r="337" spans="1:130" s="5" customFormat="1" ht="14.25" hidden="1" customHeight="1">
      <c r="A337" s="45">
        <v>1325</v>
      </c>
      <c r="B337" s="46" t="s">
        <v>292</v>
      </c>
      <c r="C337" s="47">
        <v>2002</v>
      </c>
      <c r="D337" s="47" t="s">
        <v>76</v>
      </c>
      <c r="E337" s="46" t="s">
        <v>77</v>
      </c>
      <c r="F337" s="46">
        <v>4</v>
      </c>
      <c r="G337" s="48">
        <v>85000</v>
      </c>
      <c r="H337" s="46" t="s">
        <v>249</v>
      </c>
      <c r="I337" s="46">
        <v>1</v>
      </c>
      <c r="J337" s="47">
        <v>2</v>
      </c>
      <c r="K337" s="45" t="s">
        <v>320</v>
      </c>
      <c r="L337" s="45" t="s">
        <v>40</v>
      </c>
      <c r="M337" s="49" t="s">
        <v>35</v>
      </c>
      <c r="N337" s="49" t="s">
        <v>513</v>
      </c>
      <c r="O337" s="49"/>
      <c r="P337" s="45" t="s">
        <v>31</v>
      </c>
      <c r="Q337" s="49" t="s">
        <v>29</v>
      </c>
      <c r="R337" s="49">
        <v>1</v>
      </c>
      <c r="S337" s="50">
        <f t="shared" si="168"/>
        <v>50</v>
      </c>
      <c r="T337" s="49">
        <v>0</v>
      </c>
      <c r="U337" s="50">
        <f t="shared" si="169"/>
        <v>0</v>
      </c>
      <c r="V337" s="45"/>
      <c r="W337" s="49">
        <v>0</v>
      </c>
      <c r="X337" s="50">
        <f t="shared" si="170"/>
        <v>0</v>
      </c>
      <c r="Y337" s="51" t="str">
        <f t="shared" si="171"/>
        <v>No</v>
      </c>
      <c r="Z337" s="49" t="s">
        <v>29</v>
      </c>
      <c r="AA337" s="49" t="s">
        <v>29</v>
      </c>
      <c r="AB337" s="45" t="s">
        <v>35</v>
      </c>
      <c r="AC337" s="47" t="s">
        <v>151</v>
      </c>
      <c r="AD337" s="46" t="s">
        <v>168</v>
      </c>
      <c r="AE337" s="46" t="s">
        <v>73</v>
      </c>
      <c r="AF337" s="46" t="s">
        <v>29</v>
      </c>
      <c r="AG337" s="103"/>
      <c r="AH337" s="52">
        <v>9857</v>
      </c>
      <c r="AI337" s="52">
        <v>9857</v>
      </c>
      <c r="AJ337" s="108">
        <v>79.599999999999994</v>
      </c>
      <c r="AK337" s="104">
        <v>159.19999999999999</v>
      </c>
      <c r="AL337" s="108">
        <v>79.599999999999994</v>
      </c>
      <c r="AM337" s="108"/>
      <c r="AN337" s="53">
        <f t="shared" si="172"/>
        <v>159.19999999999999</v>
      </c>
      <c r="AO337" s="53">
        <v>20.399999999999999</v>
      </c>
      <c r="AP337" s="108"/>
      <c r="AQ337" s="108"/>
      <c r="AR337" s="108"/>
      <c r="AS337" s="108"/>
      <c r="AT337" s="108"/>
      <c r="AU337" s="108"/>
      <c r="AV337" s="108"/>
      <c r="AW337" s="108"/>
      <c r="AX337" s="108"/>
      <c r="AY337" s="108"/>
      <c r="AZ337" s="108"/>
      <c r="BA337" s="108"/>
      <c r="BB337" s="108"/>
      <c r="BC337" s="108"/>
      <c r="BD337" s="108"/>
      <c r="BE337" s="108"/>
      <c r="BF337" s="108"/>
      <c r="BG337" s="108"/>
      <c r="BH337" s="108"/>
      <c r="BI337" s="108"/>
      <c r="BJ337" s="108"/>
      <c r="BK337" s="108"/>
      <c r="BL337" s="108"/>
      <c r="BM337" s="108"/>
      <c r="BN337" s="108"/>
      <c r="BO337" s="108"/>
      <c r="BP337" s="108"/>
      <c r="BQ337" s="108"/>
      <c r="BR337" s="108"/>
      <c r="BS337" s="54" t="s">
        <v>29</v>
      </c>
      <c r="BT337" s="45" t="str">
        <f t="shared" si="178"/>
        <v>No</v>
      </c>
      <c r="BU337" s="45" t="str">
        <f t="shared" si="179"/>
        <v>No</v>
      </c>
      <c r="BV337" s="45" t="str">
        <f t="shared" si="180"/>
        <v>No</v>
      </c>
      <c r="BW337" s="55">
        <f t="shared" si="176"/>
        <v>64.738465052535403</v>
      </c>
      <c r="BX337" s="55"/>
      <c r="BY337" s="55">
        <v>64.483465052535394</v>
      </c>
      <c r="BZ337" s="55"/>
      <c r="CA337" s="45">
        <v>2000</v>
      </c>
      <c r="CB337" s="55">
        <f t="shared" si="177"/>
        <v>20.019904135185637</v>
      </c>
      <c r="CC337" s="46" t="s">
        <v>281</v>
      </c>
      <c r="CD337" s="46" t="s">
        <v>151</v>
      </c>
      <c r="CE337" s="46" t="s">
        <v>783</v>
      </c>
      <c r="CF337" s="46">
        <v>2</v>
      </c>
      <c r="CG337" s="46" t="str">
        <f t="shared" si="174"/>
        <v>Yes</v>
      </c>
      <c r="CH337" s="46" t="s">
        <v>35</v>
      </c>
      <c r="CI337" s="56">
        <v>25</v>
      </c>
      <c r="CJ337" s="46">
        <v>50</v>
      </c>
      <c r="CK337" s="46" t="s">
        <v>23</v>
      </c>
      <c r="CL337" s="49" t="s">
        <v>29</v>
      </c>
      <c r="CM337" s="102">
        <v>0</v>
      </c>
      <c r="CN337" s="102"/>
      <c r="CO337" s="102"/>
      <c r="CP337" s="46" t="s">
        <v>23</v>
      </c>
      <c r="CQ337" s="46" t="s">
        <v>24</v>
      </c>
      <c r="CR337" s="46">
        <v>11</v>
      </c>
      <c r="CS337" s="46" t="s">
        <v>854</v>
      </c>
      <c r="CT337" s="46" t="s">
        <v>856</v>
      </c>
      <c r="CU337" s="46" t="s">
        <v>29</v>
      </c>
      <c r="CV337" s="46" t="s">
        <v>23</v>
      </c>
      <c r="CW337" s="46" t="s">
        <v>23</v>
      </c>
      <c r="CX337" s="49" t="s">
        <v>928</v>
      </c>
      <c r="CY337" s="49" t="s">
        <v>295</v>
      </c>
      <c r="CZ337" s="49">
        <v>0</v>
      </c>
      <c r="DA337" s="49">
        <v>0</v>
      </c>
      <c r="DB337" s="64">
        <v>49236</v>
      </c>
      <c r="DC337" s="58">
        <v>64.91</v>
      </c>
      <c r="DD337" s="58">
        <v>2.69</v>
      </c>
      <c r="DE337" s="58">
        <v>9.6</v>
      </c>
      <c r="DF337" s="58">
        <v>18.809999999999999</v>
      </c>
      <c r="DG337" s="58">
        <v>5.3233406450564624</v>
      </c>
      <c r="DH337" s="58">
        <v>35.089999999999996</v>
      </c>
      <c r="DI337" s="45" t="s">
        <v>29</v>
      </c>
      <c r="DJ337" s="59" t="str">
        <f t="shared" si="175"/>
        <v>N/A</v>
      </c>
      <c r="DK337" s="65">
        <v>49236</v>
      </c>
      <c r="DL337" s="58">
        <v>64.91</v>
      </c>
      <c r="DM337" s="58">
        <v>2.69</v>
      </c>
      <c r="DN337" s="58">
        <v>9.6</v>
      </c>
      <c r="DO337" s="58">
        <v>35.089999999999996</v>
      </c>
      <c r="DP337" s="82">
        <v>49.2</v>
      </c>
      <c r="DQ337" s="67">
        <v>96568.22</v>
      </c>
      <c r="DR337" s="58">
        <v>8.8000000000000007</v>
      </c>
      <c r="DS337" s="58">
        <v>68.099999999999994</v>
      </c>
      <c r="DT337" s="53">
        <v>61.8</v>
      </c>
      <c r="DU337" s="55">
        <v>3.2</v>
      </c>
      <c r="DV337" s="50">
        <v>32.6</v>
      </c>
      <c r="DW337" s="58">
        <v>78.3</v>
      </c>
      <c r="DX337" s="53">
        <v>71.634799999999998</v>
      </c>
      <c r="DY337" s="58">
        <v>41.6036</v>
      </c>
      <c r="DZ337" s="63"/>
    </row>
    <row r="338" spans="1:130" s="5" customFormat="1" ht="14.25" hidden="1" customHeight="1">
      <c r="A338" s="45">
        <v>1326</v>
      </c>
      <c r="B338" s="46" t="s">
        <v>292</v>
      </c>
      <c r="C338" s="47">
        <v>2002</v>
      </c>
      <c r="D338" s="47" t="s">
        <v>94</v>
      </c>
      <c r="E338" s="46" t="s">
        <v>95</v>
      </c>
      <c r="F338" s="46">
        <v>4</v>
      </c>
      <c r="G338" s="48">
        <v>85000</v>
      </c>
      <c r="H338" s="46" t="s">
        <v>249</v>
      </c>
      <c r="I338" s="46">
        <v>1</v>
      </c>
      <c r="J338" s="47">
        <v>1</v>
      </c>
      <c r="K338" s="45" t="s">
        <v>321</v>
      </c>
      <c r="L338" s="45" t="s">
        <v>40</v>
      </c>
      <c r="M338" s="49" t="s">
        <v>35</v>
      </c>
      <c r="N338" s="49" t="s">
        <v>513</v>
      </c>
      <c r="O338" s="49"/>
      <c r="P338" s="45" t="s">
        <v>857</v>
      </c>
      <c r="Q338" s="49" t="s">
        <v>35</v>
      </c>
      <c r="R338" s="49">
        <v>1</v>
      </c>
      <c r="S338" s="50">
        <f t="shared" si="168"/>
        <v>100</v>
      </c>
      <c r="T338" s="49">
        <v>1</v>
      </c>
      <c r="U338" s="50">
        <f t="shared" si="169"/>
        <v>100</v>
      </c>
      <c r="V338" s="49" t="s">
        <v>789</v>
      </c>
      <c r="W338" s="49">
        <v>1</v>
      </c>
      <c r="X338" s="50">
        <f t="shared" si="170"/>
        <v>100</v>
      </c>
      <c r="Y338" s="51" t="str">
        <f t="shared" si="171"/>
        <v>Yes</v>
      </c>
      <c r="Z338" s="49" t="s">
        <v>29</v>
      </c>
      <c r="AA338" s="49" t="s">
        <v>35</v>
      </c>
      <c r="AB338" s="45" t="s">
        <v>35</v>
      </c>
      <c r="AC338" s="47" t="s">
        <v>151</v>
      </c>
      <c r="AD338" s="46" t="s">
        <v>168</v>
      </c>
      <c r="AE338" s="46" t="s">
        <v>73</v>
      </c>
      <c r="AF338" s="46" t="s">
        <v>29</v>
      </c>
      <c r="AG338" s="103"/>
      <c r="AH338" s="52">
        <v>4870</v>
      </c>
      <c r="AI338" s="52">
        <v>4870</v>
      </c>
      <c r="AJ338" s="108">
        <v>100</v>
      </c>
      <c r="AK338" s="104">
        <v>200</v>
      </c>
      <c r="AL338" s="108">
        <v>100</v>
      </c>
      <c r="AM338" s="108"/>
      <c r="AN338" s="53">
        <f t="shared" si="172"/>
        <v>200</v>
      </c>
      <c r="AO338" s="53" t="s">
        <v>23</v>
      </c>
      <c r="AP338" s="108"/>
      <c r="AQ338" s="108"/>
      <c r="AR338" s="108"/>
      <c r="AS338" s="108"/>
      <c r="AT338" s="108"/>
      <c r="AU338" s="108"/>
      <c r="AV338" s="108"/>
      <c r="AW338" s="108"/>
      <c r="AX338" s="108"/>
      <c r="AY338" s="108"/>
      <c r="AZ338" s="108"/>
      <c r="BA338" s="108"/>
      <c r="BB338" s="108"/>
      <c r="BC338" s="108"/>
      <c r="BD338" s="108"/>
      <c r="BE338" s="108"/>
      <c r="BF338" s="108"/>
      <c r="BG338" s="108"/>
      <c r="BH338" s="108"/>
      <c r="BI338" s="108"/>
      <c r="BJ338" s="108"/>
      <c r="BK338" s="108"/>
      <c r="BL338" s="108"/>
      <c r="BM338" s="108"/>
      <c r="BN338" s="108"/>
      <c r="BO338" s="108"/>
      <c r="BP338" s="108"/>
      <c r="BQ338" s="108"/>
      <c r="BR338" s="108"/>
      <c r="BS338" s="54" t="s">
        <v>23</v>
      </c>
      <c r="BT338" s="45" t="str">
        <f t="shared" si="178"/>
        <v>No</v>
      </c>
      <c r="BU338" s="45" t="str">
        <f t="shared" si="179"/>
        <v>No</v>
      </c>
      <c r="BV338" s="45" t="str">
        <f t="shared" si="180"/>
        <v>No</v>
      </c>
      <c r="BW338" s="55">
        <f t="shared" si="176"/>
        <v>64.738465052535403</v>
      </c>
      <c r="BX338" s="55"/>
      <c r="BY338" s="55">
        <v>64.483465052535394</v>
      </c>
      <c r="BZ338" s="55"/>
      <c r="CA338" s="45">
        <v>2000</v>
      </c>
      <c r="CB338" s="55">
        <f t="shared" si="177"/>
        <v>11.094404957171495</v>
      </c>
      <c r="CC338" s="46" t="s">
        <v>281</v>
      </c>
      <c r="CD338" s="46" t="s">
        <v>151</v>
      </c>
      <c r="CE338" s="46" t="s">
        <v>783</v>
      </c>
      <c r="CF338" s="46">
        <v>2</v>
      </c>
      <c r="CG338" s="46" t="str">
        <f t="shared" si="174"/>
        <v>Yes</v>
      </c>
      <c r="CH338" s="46" t="s">
        <v>35</v>
      </c>
      <c r="CI338" s="56">
        <v>25</v>
      </c>
      <c r="CJ338" s="46">
        <v>50</v>
      </c>
      <c r="CK338" s="46" t="s">
        <v>23</v>
      </c>
      <c r="CL338" s="49" t="s">
        <v>29</v>
      </c>
      <c r="CM338" s="50">
        <v>0</v>
      </c>
      <c r="CN338" s="50"/>
      <c r="CO338" s="50"/>
      <c r="CP338" s="46" t="s">
        <v>23</v>
      </c>
      <c r="CQ338" s="46" t="s">
        <v>24</v>
      </c>
      <c r="CR338" s="46">
        <v>11</v>
      </c>
      <c r="CS338" s="46" t="s">
        <v>854</v>
      </c>
      <c r="CT338" s="46" t="s">
        <v>856</v>
      </c>
      <c r="CU338" s="46" t="s">
        <v>29</v>
      </c>
      <c r="CV338" s="46" t="s">
        <v>23</v>
      </c>
      <c r="CW338" s="46" t="s">
        <v>23</v>
      </c>
      <c r="CX338" s="49" t="s">
        <v>928</v>
      </c>
      <c r="CY338" s="49" t="s">
        <v>295</v>
      </c>
      <c r="CZ338" s="49">
        <v>0</v>
      </c>
      <c r="DA338" s="49">
        <v>0</v>
      </c>
      <c r="DB338" s="64">
        <v>43896</v>
      </c>
      <c r="DC338" s="58">
        <v>36.47</v>
      </c>
      <c r="DD338" s="58">
        <v>4.78</v>
      </c>
      <c r="DE338" s="58">
        <v>39.53</v>
      </c>
      <c r="DF338" s="58">
        <v>14.610000000000001</v>
      </c>
      <c r="DG338" s="58">
        <v>5.5221432476763264</v>
      </c>
      <c r="DH338" s="58">
        <v>63.53</v>
      </c>
      <c r="DI338" s="45" t="s">
        <v>35</v>
      </c>
      <c r="DJ338" s="59" t="str">
        <f t="shared" si="175"/>
        <v>No single majority group</v>
      </c>
      <c r="DK338" s="65">
        <v>43896</v>
      </c>
      <c r="DL338" s="58">
        <v>36.47</v>
      </c>
      <c r="DM338" s="58">
        <v>4.78</v>
      </c>
      <c r="DN338" s="58">
        <v>39.53</v>
      </c>
      <c r="DO338" s="58">
        <v>63.53</v>
      </c>
      <c r="DP338" s="82">
        <v>49.2</v>
      </c>
      <c r="DQ338" s="67">
        <v>96568.22</v>
      </c>
      <c r="DR338" s="58">
        <v>8.8000000000000007</v>
      </c>
      <c r="DS338" s="58">
        <v>68.099999999999994</v>
      </c>
      <c r="DT338" s="53">
        <v>61.8</v>
      </c>
      <c r="DU338" s="55">
        <v>3.2</v>
      </c>
      <c r="DV338" s="50">
        <v>32.6</v>
      </c>
      <c r="DW338" s="58">
        <v>78.3</v>
      </c>
      <c r="DX338" s="53">
        <v>71.634799999999998</v>
      </c>
      <c r="DY338" s="58">
        <v>41.6036</v>
      </c>
      <c r="DZ338" s="63"/>
    </row>
    <row r="339" spans="1:130" s="5" customFormat="1" ht="14.25" hidden="1" customHeight="1">
      <c r="A339" s="45">
        <v>1327</v>
      </c>
      <c r="B339" s="46" t="s">
        <v>292</v>
      </c>
      <c r="C339" s="47">
        <v>2002</v>
      </c>
      <c r="D339" s="47" t="s">
        <v>97</v>
      </c>
      <c r="E339" s="46" t="s">
        <v>98</v>
      </c>
      <c r="F339" s="46">
        <v>4</v>
      </c>
      <c r="G339" s="48">
        <v>85000</v>
      </c>
      <c r="H339" s="46" t="s">
        <v>249</v>
      </c>
      <c r="I339" s="46">
        <v>1</v>
      </c>
      <c r="J339" s="47">
        <v>2</v>
      </c>
      <c r="K339" s="45" t="s">
        <v>313</v>
      </c>
      <c r="L339" s="45" t="s">
        <v>40</v>
      </c>
      <c r="M339" s="49" t="s">
        <v>35</v>
      </c>
      <c r="N339" s="49" t="s">
        <v>512</v>
      </c>
      <c r="O339" s="49"/>
      <c r="P339" s="45" t="s">
        <v>857</v>
      </c>
      <c r="Q339" s="49" t="s">
        <v>35</v>
      </c>
      <c r="R339" s="49">
        <v>1</v>
      </c>
      <c r="S339" s="50">
        <f t="shared" si="168"/>
        <v>50</v>
      </c>
      <c r="T339" s="49">
        <v>1</v>
      </c>
      <c r="U339" s="50">
        <f t="shared" si="169"/>
        <v>50</v>
      </c>
      <c r="V339" s="49" t="s">
        <v>789</v>
      </c>
      <c r="W339" s="49">
        <v>1</v>
      </c>
      <c r="X339" s="50">
        <f t="shared" si="170"/>
        <v>50</v>
      </c>
      <c r="Y339" s="51" t="str">
        <f t="shared" si="171"/>
        <v>Yes</v>
      </c>
      <c r="Z339" s="49" t="s">
        <v>35</v>
      </c>
      <c r="AA339" s="49" t="s">
        <v>23</v>
      </c>
      <c r="AB339" s="49" t="s">
        <v>23</v>
      </c>
      <c r="AC339" s="47" t="s">
        <v>151</v>
      </c>
      <c r="AD339" s="46" t="s">
        <v>168</v>
      </c>
      <c r="AE339" s="46" t="s">
        <v>73</v>
      </c>
      <c r="AF339" s="46" t="s">
        <v>29</v>
      </c>
      <c r="AG339" s="103"/>
      <c r="AH339" s="52">
        <v>5533</v>
      </c>
      <c r="AI339" s="52">
        <v>5533</v>
      </c>
      <c r="AJ339" s="108">
        <v>69.900000000000006</v>
      </c>
      <c r="AK339" s="104">
        <v>139.80000000000001</v>
      </c>
      <c r="AL339" s="108">
        <v>69.900000000000006</v>
      </c>
      <c r="AM339" s="108"/>
      <c r="AN339" s="53">
        <f t="shared" si="172"/>
        <v>139.80000000000001</v>
      </c>
      <c r="AO339" s="53">
        <v>30.1</v>
      </c>
      <c r="AP339" s="108"/>
      <c r="AQ339" s="108"/>
      <c r="AR339" s="108"/>
      <c r="AS339" s="108"/>
      <c r="AT339" s="108"/>
      <c r="AU339" s="108"/>
      <c r="AV339" s="108"/>
      <c r="AW339" s="108"/>
      <c r="AX339" s="108"/>
      <c r="AY339" s="108"/>
      <c r="AZ339" s="108"/>
      <c r="BA339" s="108"/>
      <c r="BB339" s="108"/>
      <c r="BC339" s="108"/>
      <c r="BD339" s="108"/>
      <c r="BE339" s="108"/>
      <c r="BF339" s="108"/>
      <c r="BG339" s="108"/>
      <c r="BH339" s="108"/>
      <c r="BI339" s="108"/>
      <c r="BJ339" s="108"/>
      <c r="BK339" s="108"/>
      <c r="BL339" s="108"/>
      <c r="BM339" s="108"/>
      <c r="BN339" s="108"/>
      <c r="BO339" s="108"/>
      <c r="BP339" s="108"/>
      <c r="BQ339" s="108"/>
      <c r="BR339" s="108"/>
      <c r="BS339" s="54" t="s">
        <v>29</v>
      </c>
      <c r="BT339" s="45" t="str">
        <f t="shared" si="178"/>
        <v>No</v>
      </c>
      <c r="BU339" s="45" t="str">
        <f t="shared" si="179"/>
        <v>No</v>
      </c>
      <c r="BV339" s="45" t="str">
        <f t="shared" si="180"/>
        <v>No</v>
      </c>
      <c r="BW339" s="55">
        <f t="shared" si="176"/>
        <v>64.738465052535403</v>
      </c>
      <c r="BX339" s="55"/>
      <c r="BY339" s="55">
        <v>64.483465052535394</v>
      </c>
      <c r="BZ339" s="55"/>
      <c r="CA339" s="45">
        <v>2000</v>
      </c>
      <c r="CB339" s="55">
        <f t="shared" si="177"/>
        <v>10.99169613413326</v>
      </c>
      <c r="CC339" s="46" t="s">
        <v>281</v>
      </c>
      <c r="CD339" s="46" t="s">
        <v>151</v>
      </c>
      <c r="CE339" s="46" t="s">
        <v>783</v>
      </c>
      <c r="CF339" s="46">
        <v>2</v>
      </c>
      <c r="CG339" s="46" t="str">
        <f t="shared" si="174"/>
        <v>Yes</v>
      </c>
      <c r="CH339" s="46" t="s">
        <v>35</v>
      </c>
      <c r="CI339" s="56">
        <v>25</v>
      </c>
      <c r="CJ339" s="46">
        <v>50</v>
      </c>
      <c r="CK339" s="46" t="s">
        <v>23</v>
      </c>
      <c r="CL339" s="49" t="s">
        <v>29</v>
      </c>
      <c r="CM339" s="50">
        <v>0</v>
      </c>
      <c r="CN339" s="102"/>
      <c r="CO339" s="50"/>
      <c r="CP339" s="46" t="s">
        <v>23</v>
      </c>
      <c r="CQ339" s="46" t="s">
        <v>24</v>
      </c>
      <c r="CR339" s="46">
        <v>11</v>
      </c>
      <c r="CS339" s="46" t="s">
        <v>854</v>
      </c>
      <c r="CT339" s="46" t="s">
        <v>856</v>
      </c>
      <c r="CU339" s="46" t="s">
        <v>29</v>
      </c>
      <c r="CV339" s="46" t="s">
        <v>23</v>
      </c>
      <c r="CW339" s="46" t="s">
        <v>23</v>
      </c>
      <c r="CX339" s="49" t="s">
        <v>928</v>
      </c>
      <c r="CY339" s="49" t="s">
        <v>295</v>
      </c>
      <c r="CZ339" s="49">
        <v>0</v>
      </c>
      <c r="DA339" s="49">
        <v>0</v>
      </c>
      <c r="DB339" s="64">
        <v>50338</v>
      </c>
      <c r="DC339" s="58">
        <v>24.779999999999998</v>
      </c>
      <c r="DD339" s="58">
        <v>4.5900000000000007</v>
      </c>
      <c r="DE339" s="58">
        <v>44.01</v>
      </c>
      <c r="DF339" s="58">
        <v>23.16</v>
      </c>
      <c r="DG339" s="58">
        <v>4.2035837736898563</v>
      </c>
      <c r="DH339" s="58">
        <v>75.22</v>
      </c>
      <c r="DI339" s="45" t="s">
        <v>35</v>
      </c>
      <c r="DJ339" s="59" t="str">
        <f t="shared" si="175"/>
        <v>No single majority group</v>
      </c>
      <c r="DK339" s="65">
        <v>50338</v>
      </c>
      <c r="DL339" s="58">
        <v>24.779999999999998</v>
      </c>
      <c r="DM339" s="58">
        <v>4.5900000000000007</v>
      </c>
      <c r="DN339" s="58">
        <v>44.01</v>
      </c>
      <c r="DO339" s="58">
        <v>75.22</v>
      </c>
      <c r="DP339" s="82">
        <v>49.2</v>
      </c>
      <c r="DQ339" s="67">
        <v>96568.22</v>
      </c>
      <c r="DR339" s="58">
        <v>8.8000000000000007</v>
      </c>
      <c r="DS339" s="58">
        <v>68.099999999999994</v>
      </c>
      <c r="DT339" s="53">
        <v>61.8</v>
      </c>
      <c r="DU339" s="55">
        <v>3.2</v>
      </c>
      <c r="DV339" s="50">
        <v>32.6</v>
      </c>
      <c r="DW339" s="58">
        <v>78.3</v>
      </c>
      <c r="DX339" s="53">
        <v>71.634799999999998</v>
      </c>
      <c r="DY339" s="58">
        <v>41.6036</v>
      </c>
      <c r="DZ339" s="63"/>
    </row>
    <row r="340" spans="1:130" s="5" customFormat="1" ht="14.25" hidden="1" customHeight="1">
      <c r="A340" s="45">
        <v>1328</v>
      </c>
      <c r="B340" s="46" t="s">
        <v>292</v>
      </c>
      <c r="C340" s="47">
        <v>2002</v>
      </c>
      <c r="D340" s="47" t="s">
        <v>82</v>
      </c>
      <c r="E340" s="46" t="s">
        <v>83</v>
      </c>
      <c r="F340" s="46">
        <v>4</v>
      </c>
      <c r="G340" s="48">
        <v>85000</v>
      </c>
      <c r="H340" s="46" t="s">
        <v>249</v>
      </c>
      <c r="I340" s="46">
        <v>1</v>
      </c>
      <c r="J340" s="47">
        <v>5</v>
      </c>
      <c r="K340" s="45" t="s">
        <v>322</v>
      </c>
      <c r="L340" s="45" t="s">
        <v>30</v>
      </c>
      <c r="M340" s="49" t="s">
        <v>29</v>
      </c>
      <c r="N340" s="49" t="s">
        <v>512</v>
      </c>
      <c r="O340" s="49"/>
      <c r="P340" s="45" t="s">
        <v>31</v>
      </c>
      <c r="Q340" s="49" t="s">
        <v>29</v>
      </c>
      <c r="R340" s="49">
        <v>0</v>
      </c>
      <c r="S340" s="50">
        <f t="shared" si="168"/>
        <v>0</v>
      </c>
      <c r="T340" s="49">
        <v>2</v>
      </c>
      <c r="U340" s="50">
        <f t="shared" si="169"/>
        <v>40</v>
      </c>
      <c r="V340" s="49" t="s">
        <v>799</v>
      </c>
      <c r="W340" s="49">
        <v>0</v>
      </c>
      <c r="X340" s="50">
        <f t="shared" si="170"/>
        <v>0</v>
      </c>
      <c r="Y340" s="51" t="str">
        <f t="shared" si="171"/>
        <v>No</v>
      </c>
      <c r="Z340" s="49" t="s">
        <v>35</v>
      </c>
      <c r="AA340" s="49" t="s">
        <v>23</v>
      </c>
      <c r="AB340" s="49" t="s">
        <v>23</v>
      </c>
      <c r="AC340" s="47" t="s">
        <v>26</v>
      </c>
      <c r="AD340" s="46" t="s">
        <v>27</v>
      </c>
      <c r="AE340" s="46" t="s">
        <v>73</v>
      </c>
      <c r="AF340" s="46" t="s">
        <v>29</v>
      </c>
      <c r="AG340" s="103"/>
      <c r="AH340" s="52">
        <v>7212</v>
      </c>
      <c r="AI340" s="52">
        <v>10615</v>
      </c>
      <c r="AJ340" s="108">
        <v>32.799999999999997</v>
      </c>
      <c r="AK340" s="104">
        <v>65.599999999999994</v>
      </c>
      <c r="AL340" s="108">
        <v>60.6</v>
      </c>
      <c r="AM340" s="108"/>
      <c r="AN340" s="53">
        <f t="shared" si="172"/>
        <v>121.2</v>
      </c>
      <c r="AO340" s="53">
        <v>31.1</v>
      </c>
      <c r="AP340" s="108"/>
      <c r="AQ340" s="108"/>
      <c r="AR340" s="108"/>
      <c r="AS340" s="108"/>
      <c r="AT340" s="108"/>
      <c r="AU340" s="108"/>
      <c r="AV340" s="108"/>
      <c r="AW340" s="108"/>
      <c r="AX340" s="108"/>
      <c r="AY340" s="108"/>
      <c r="AZ340" s="108"/>
      <c r="BA340" s="108"/>
      <c r="BB340" s="108"/>
      <c r="BC340" s="108"/>
      <c r="BD340" s="108"/>
      <c r="BE340" s="108"/>
      <c r="BF340" s="108"/>
      <c r="BG340" s="108"/>
      <c r="BH340" s="108"/>
      <c r="BI340" s="108"/>
      <c r="BJ340" s="108"/>
      <c r="BK340" s="108"/>
      <c r="BL340" s="108"/>
      <c r="BM340" s="108"/>
      <c r="BN340" s="108"/>
      <c r="BO340" s="108"/>
      <c r="BP340" s="108"/>
      <c r="BQ340" s="108"/>
      <c r="BR340" s="108"/>
      <c r="BS340" s="54" t="s">
        <v>29</v>
      </c>
      <c r="BT340" s="45" t="str">
        <f t="shared" si="178"/>
        <v>Yes</v>
      </c>
      <c r="BU340" s="45" t="str">
        <f t="shared" si="179"/>
        <v>Yes</v>
      </c>
      <c r="BV340" s="45" t="str">
        <f t="shared" si="180"/>
        <v>Yes</v>
      </c>
      <c r="BW340" s="55">
        <f t="shared" si="176"/>
        <v>64.738465052535403</v>
      </c>
      <c r="BX340" s="55"/>
      <c r="BY340" s="55">
        <v>64.483465052535394</v>
      </c>
      <c r="BZ340" s="55"/>
      <c r="CA340" s="45">
        <v>2000</v>
      </c>
      <c r="CB340" s="55">
        <f t="shared" si="177"/>
        <v>27.330072090628217</v>
      </c>
      <c r="CC340" s="46" t="s">
        <v>281</v>
      </c>
      <c r="CD340" s="46" t="s">
        <v>151</v>
      </c>
      <c r="CE340" s="46" t="s">
        <v>783</v>
      </c>
      <c r="CF340" s="46">
        <v>2</v>
      </c>
      <c r="CG340" s="46" t="str">
        <f t="shared" si="174"/>
        <v>Yes</v>
      </c>
      <c r="CH340" s="46" t="s">
        <v>35</v>
      </c>
      <c r="CI340" s="56">
        <v>25</v>
      </c>
      <c r="CJ340" s="46">
        <v>50</v>
      </c>
      <c r="CK340" s="46" t="s">
        <v>23</v>
      </c>
      <c r="CL340" s="49" t="s">
        <v>29</v>
      </c>
      <c r="CM340" s="50">
        <v>0</v>
      </c>
      <c r="CN340" s="50"/>
      <c r="CO340" s="50"/>
      <c r="CP340" s="46" t="s">
        <v>23</v>
      </c>
      <c r="CQ340" s="46" t="s">
        <v>24</v>
      </c>
      <c r="CR340" s="46">
        <v>11</v>
      </c>
      <c r="CS340" s="46" t="s">
        <v>854</v>
      </c>
      <c r="CT340" s="46" t="s">
        <v>856</v>
      </c>
      <c r="CU340" s="46" t="s">
        <v>29</v>
      </c>
      <c r="CV340" s="46" t="s">
        <v>23</v>
      </c>
      <c r="CW340" s="46" t="s">
        <v>23</v>
      </c>
      <c r="CX340" s="49" t="s">
        <v>928</v>
      </c>
      <c r="CY340" s="49" t="s">
        <v>295</v>
      </c>
      <c r="CZ340" s="49">
        <v>0</v>
      </c>
      <c r="DA340" s="49">
        <v>0</v>
      </c>
      <c r="DB340" s="64">
        <v>38840</v>
      </c>
      <c r="DC340" s="58">
        <v>21.94</v>
      </c>
      <c r="DD340" s="58">
        <v>4.9399999999999995</v>
      </c>
      <c r="DE340" s="58">
        <v>34.799999999999997</v>
      </c>
      <c r="DF340" s="58">
        <v>34.369999999999997</v>
      </c>
      <c r="DG340" s="58">
        <v>4.7554067971163754</v>
      </c>
      <c r="DH340" s="58">
        <v>78.06</v>
      </c>
      <c r="DI340" s="45" t="s">
        <v>35</v>
      </c>
      <c r="DJ340" s="59" t="str">
        <f t="shared" si="175"/>
        <v>No single majority group</v>
      </c>
      <c r="DK340" s="65">
        <v>38840</v>
      </c>
      <c r="DL340" s="58">
        <v>21.94</v>
      </c>
      <c r="DM340" s="58">
        <v>4.9399999999999995</v>
      </c>
      <c r="DN340" s="58">
        <v>34.799999999999997</v>
      </c>
      <c r="DO340" s="58">
        <v>78.06</v>
      </c>
      <c r="DP340" s="82">
        <v>49.2</v>
      </c>
      <c r="DQ340" s="67">
        <v>96568.22</v>
      </c>
      <c r="DR340" s="58">
        <v>8.8000000000000007</v>
      </c>
      <c r="DS340" s="58">
        <v>68.099999999999994</v>
      </c>
      <c r="DT340" s="53">
        <v>61.8</v>
      </c>
      <c r="DU340" s="55">
        <v>3.2</v>
      </c>
      <c r="DV340" s="102">
        <v>32.6</v>
      </c>
      <c r="DW340" s="58">
        <v>78.3</v>
      </c>
      <c r="DX340" s="53">
        <v>71.634799999999998</v>
      </c>
      <c r="DY340" s="58">
        <v>41.6036</v>
      </c>
      <c r="DZ340" s="63"/>
    </row>
    <row r="341" spans="1:130" s="5" customFormat="1" ht="14.25" hidden="1" customHeight="1">
      <c r="A341" s="45">
        <v>1329</v>
      </c>
      <c r="B341" s="46" t="s">
        <v>292</v>
      </c>
      <c r="C341" s="47">
        <v>2002</v>
      </c>
      <c r="D341" s="47" t="s">
        <v>300</v>
      </c>
      <c r="E341" s="46" t="s">
        <v>236</v>
      </c>
      <c r="F341" s="46">
        <v>4</v>
      </c>
      <c r="G341" s="48">
        <v>85000</v>
      </c>
      <c r="H341" s="46" t="s">
        <v>249</v>
      </c>
      <c r="I341" s="46">
        <v>1</v>
      </c>
      <c r="J341" s="47">
        <v>2</v>
      </c>
      <c r="K341" s="45" t="s">
        <v>314</v>
      </c>
      <c r="L341" s="45" t="s">
        <v>40</v>
      </c>
      <c r="M341" s="49" t="s">
        <v>35</v>
      </c>
      <c r="N341" s="49" t="s">
        <v>512</v>
      </c>
      <c r="O341" s="49"/>
      <c r="P341" s="45" t="s">
        <v>31</v>
      </c>
      <c r="Q341" s="49" t="s">
        <v>29</v>
      </c>
      <c r="R341" s="49">
        <v>1</v>
      </c>
      <c r="S341" s="50">
        <f t="shared" si="168"/>
        <v>50</v>
      </c>
      <c r="T341" s="49">
        <v>0</v>
      </c>
      <c r="U341" s="50">
        <f t="shared" si="169"/>
        <v>0</v>
      </c>
      <c r="V341" s="45"/>
      <c r="W341" s="49">
        <v>0</v>
      </c>
      <c r="X341" s="50">
        <f t="shared" si="170"/>
        <v>0</v>
      </c>
      <c r="Y341" s="51" t="str">
        <f t="shared" si="171"/>
        <v>No</v>
      </c>
      <c r="Z341" s="49" t="s">
        <v>35</v>
      </c>
      <c r="AA341" s="49" t="s">
        <v>23</v>
      </c>
      <c r="AB341" s="49" t="s">
        <v>23</v>
      </c>
      <c r="AC341" s="47" t="s">
        <v>151</v>
      </c>
      <c r="AD341" s="46" t="s">
        <v>168</v>
      </c>
      <c r="AE341" s="46" t="s">
        <v>73</v>
      </c>
      <c r="AF341" s="46" t="s">
        <v>29</v>
      </c>
      <c r="AG341" s="103"/>
      <c r="AH341" s="52">
        <v>13693</v>
      </c>
      <c r="AI341" s="52">
        <v>13693</v>
      </c>
      <c r="AJ341" s="108">
        <v>57.1</v>
      </c>
      <c r="AK341" s="104">
        <v>114.2</v>
      </c>
      <c r="AL341" s="111">
        <v>57.1</v>
      </c>
      <c r="AM341" s="111"/>
      <c r="AN341" s="53">
        <f t="shared" si="172"/>
        <v>114.2</v>
      </c>
      <c r="AO341" s="53">
        <v>42.9</v>
      </c>
      <c r="AP341" s="111"/>
      <c r="AQ341" s="111"/>
      <c r="AR341" s="111"/>
      <c r="AS341" s="111"/>
      <c r="AT341" s="111"/>
      <c r="AU341" s="111"/>
      <c r="AV341" s="108"/>
      <c r="AW341" s="108"/>
      <c r="AX341" s="111"/>
      <c r="AY341" s="111"/>
      <c r="AZ341" s="111"/>
      <c r="BA341" s="111"/>
      <c r="BB341" s="111"/>
      <c r="BC341" s="111"/>
      <c r="BD341" s="111"/>
      <c r="BE341" s="111"/>
      <c r="BF341" s="111"/>
      <c r="BG341" s="111"/>
      <c r="BH341" s="111"/>
      <c r="BI341" s="111"/>
      <c r="BJ341" s="108"/>
      <c r="BK341" s="108"/>
      <c r="BL341" s="108"/>
      <c r="BM341" s="108"/>
      <c r="BN341" s="108"/>
      <c r="BO341" s="111"/>
      <c r="BP341" s="111"/>
      <c r="BQ341" s="111"/>
      <c r="BR341" s="108"/>
      <c r="BS341" s="54" t="s">
        <v>29</v>
      </c>
      <c r="BT341" s="45" t="str">
        <f t="shared" si="178"/>
        <v>Yes</v>
      </c>
      <c r="BU341" s="45" t="str">
        <f t="shared" si="179"/>
        <v>Yes</v>
      </c>
      <c r="BV341" s="45" t="str">
        <f t="shared" si="180"/>
        <v>No</v>
      </c>
      <c r="BW341" s="55">
        <f t="shared" si="176"/>
        <v>64.738465052535403</v>
      </c>
      <c r="BX341" s="55"/>
      <c r="BY341" s="55">
        <v>64.483465052535394</v>
      </c>
      <c r="BZ341" s="55"/>
      <c r="CA341" s="45">
        <v>2000</v>
      </c>
      <c r="CB341" s="55">
        <f t="shared" si="177"/>
        <v>22.257078768570594</v>
      </c>
      <c r="CC341" s="46" t="s">
        <v>281</v>
      </c>
      <c r="CD341" s="46" t="s">
        <v>151</v>
      </c>
      <c r="CE341" s="46" t="s">
        <v>783</v>
      </c>
      <c r="CF341" s="46">
        <v>2</v>
      </c>
      <c r="CG341" s="46" t="str">
        <f t="shared" si="174"/>
        <v>Yes</v>
      </c>
      <c r="CH341" s="46" t="s">
        <v>35</v>
      </c>
      <c r="CI341" s="56">
        <v>25</v>
      </c>
      <c r="CJ341" s="46">
        <v>50</v>
      </c>
      <c r="CK341" s="46" t="s">
        <v>23</v>
      </c>
      <c r="CL341" s="49" t="s">
        <v>29</v>
      </c>
      <c r="CM341" s="50">
        <v>0</v>
      </c>
      <c r="CN341" s="50"/>
      <c r="CO341" s="50"/>
      <c r="CP341" s="46" t="s">
        <v>23</v>
      </c>
      <c r="CQ341" s="46" t="s">
        <v>24</v>
      </c>
      <c r="CR341" s="46">
        <v>11</v>
      </c>
      <c r="CS341" s="46" t="s">
        <v>854</v>
      </c>
      <c r="CT341" s="46" t="s">
        <v>856</v>
      </c>
      <c r="CU341" s="46" t="s">
        <v>29</v>
      </c>
      <c r="CV341" s="46" t="s">
        <v>23</v>
      </c>
      <c r="CW341" s="46" t="s">
        <v>23</v>
      </c>
      <c r="CX341" s="49" t="s">
        <v>928</v>
      </c>
      <c r="CY341" s="49" t="s">
        <v>295</v>
      </c>
      <c r="CZ341" s="49">
        <v>0</v>
      </c>
      <c r="DA341" s="49">
        <v>0</v>
      </c>
      <c r="DB341" s="64">
        <v>61522</v>
      </c>
      <c r="DC341" s="58">
        <v>72.83</v>
      </c>
      <c r="DD341" s="58">
        <v>2.4500000000000002</v>
      </c>
      <c r="DE341" s="58">
        <v>12.23</v>
      </c>
      <c r="DF341" s="58">
        <v>7.95</v>
      </c>
      <c r="DG341" s="58">
        <v>5.8011768147979588</v>
      </c>
      <c r="DH341" s="58">
        <v>27.170000000000005</v>
      </c>
      <c r="DI341" s="45" t="s">
        <v>29</v>
      </c>
      <c r="DJ341" s="59" t="str">
        <f t="shared" si="175"/>
        <v>N/A</v>
      </c>
      <c r="DK341" s="65">
        <v>61522</v>
      </c>
      <c r="DL341" s="58">
        <v>72.83</v>
      </c>
      <c r="DM341" s="58">
        <v>2.4500000000000002</v>
      </c>
      <c r="DN341" s="58">
        <v>12.23</v>
      </c>
      <c r="DO341" s="58">
        <v>27.170000000000005</v>
      </c>
      <c r="DP341" s="82">
        <v>49.2</v>
      </c>
      <c r="DQ341" s="67">
        <v>96568.22</v>
      </c>
      <c r="DR341" s="58">
        <v>8.8000000000000007</v>
      </c>
      <c r="DS341" s="58">
        <v>68.099999999999994</v>
      </c>
      <c r="DT341" s="53">
        <v>61.8</v>
      </c>
      <c r="DU341" s="55">
        <v>3.2</v>
      </c>
      <c r="DV341" s="102">
        <v>32.6</v>
      </c>
      <c r="DW341" s="58">
        <v>78.3</v>
      </c>
      <c r="DX341" s="53">
        <v>71.634799999999998</v>
      </c>
      <c r="DY341" s="58">
        <v>41.6036</v>
      </c>
      <c r="DZ341" s="63"/>
    </row>
    <row r="342" spans="1:130" s="5" customFormat="1" ht="14.25" hidden="1" customHeight="1">
      <c r="A342" s="45">
        <v>1324</v>
      </c>
      <c r="B342" s="46" t="s">
        <v>292</v>
      </c>
      <c r="C342" s="47">
        <v>2002</v>
      </c>
      <c r="D342" s="47" t="s">
        <v>38</v>
      </c>
      <c r="E342" s="46" t="s">
        <v>22</v>
      </c>
      <c r="F342" s="46">
        <v>4</v>
      </c>
      <c r="G342" s="48">
        <v>105000</v>
      </c>
      <c r="H342" s="46" t="s">
        <v>249</v>
      </c>
      <c r="I342" s="46">
        <v>1</v>
      </c>
      <c r="J342" s="47">
        <v>6</v>
      </c>
      <c r="K342" s="45" t="s">
        <v>319</v>
      </c>
      <c r="L342" s="45" t="s">
        <v>30</v>
      </c>
      <c r="M342" s="49" t="s">
        <v>29</v>
      </c>
      <c r="N342" s="49" t="s">
        <v>513</v>
      </c>
      <c r="O342" s="49"/>
      <c r="P342" s="45" t="s">
        <v>857</v>
      </c>
      <c r="Q342" s="49" t="s">
        <v>35</v>
      </c>
      <c r="R342" s="49">
        <v>1</v>
      </c>
      <c r="S342" s="50">
        <f t="shared" si="168"/>
        <v>16.666666666666664</v>
      </c>
      <c r="T342" s="49">
        <v>3</v>
      </c>
      <c r="U342" s="50">
        <f t="shared" si="169"/>
        <v>50</v>
      </c>
      <c r="V342" s="49" t="s">
        <v>791</v>
      </c>
      <c r="W342" s="49">
        <v>1</v>
      </c>
      <c r="X342" s="50">
        <f t="shared" si="170"/>
        <v>16.666666666666664</v>
      </c>
      <c r="Y342" s="51" t="str">
        <f t="shared" si="171"/>
        <v>No</v>
      </c>
      <c r="Z342" s="49" t="s">
        <v>29</v>
      </c>
      <c r="AA342" s="49" t="s">
        <v>35</v>
      </c>
      <c r="AB342" s="49" t="s">
        <v>29</v>
      </c>
      <c r="AC342" s="47" t="s">
        <v>151</v>
      </c>
      <c r="AD342" s="46" t="s">
        <v>168</v>
      </c>
      <c r="AE342" s="46" t="s">
        <v>73</v>
      </c>
      <c r="AF342" s="46" t="s">
        <v>29</v>
      </c>
      <c r="AG342" s="103"/>
      <c r="AH342" s="52">
        <v>101657</v>
      </c>
      <c r="AI342" s="52">
        <v>101657</v>
      </c>
      <c r="AJ342" s="108">
        <v>56.4</v>
      </c>
      <c r="AK342" s="104">
        <v>112.8</v>
      </c>
      <c r="AL342" s="108">
        <v>56.4</v>
      </c>
      <c r="AM342" s="108"/>
      <c r="AN342" s="53">
        <f t="shared" si="172"/>
        <v>112.8</v>
      </c>
      <c r="AO342" s="53">
        <v>13.3</v>
      </c>
      <c r="AP342" s="108"/>
      <c r="AQ342" s="108"/>
      <c r="AR342" s="108"/>
      <c r="AS342" s="108"/>
      <c r="AT342" s="108"/>
      <c r="AU342" s="108"/>
      <c r="AV342" s="108"/>
      <c r="AW342" s="108"/>
      <c r="AX342" s="108"/>
      <c r="AY342" s="108"/>
      <c r="AZ342" s="108"/>
      <c r="BA342" s="108"/>
      <c r="BB342" s="108"/>
      <c r="BC342" s="108"/>
      <c r="BD342" s="108"/>
      <c r="BE342" s="108"/>
      <c r="BF342" s="108"/>
      <c r="BG342" s="108"/>
      <c r="BH342" s="108"/>
      <c r="BI342" s="108"/>
      <c r="BJ342" s="108"/>
      <c r="BK342" s="108"/>
      <c r="BL342" s="108"/>
      <c r="BM342" s="108"/>
      <c r="BN342" s="108"/>
      <c r="BO342" s="108"/>
      <c r="BP342" s="108"/>
      <c r="BQ342" s="108"/>
      <c r="BR342" s="108"/>
      <c r="BS342" s="54" t="s">
        <v>29</v>
      </c>
      <c r="BT342" s="45" t="str">
        <f t="shared" si="178"/>
        <v>No</v>
      </c>
      <c r="BU342" s="45" t="str">
        <f t="shared" si="179"/>
        <v>No</v>
      </c>
      <c r="BV342" s="45" t="str">
        <f t="shared" si="180"/>
        <v>No</v>
      </c>
      <c r="BW342" s="55">
        <f t="shared" si="176"/>
        <v>64.738465052535403</v>
      </c>
      <c r="BX342" s="55">
        <f>(158718/(158718+86450))*100</f>
        <v>64.738465052535403</v>
      </c>
      <c r="BY342" s="55">
        <v>64.483465052535394</v>
      </c>
      <c r="BZ342" s="55">
        <f>BX342-(0.0051*100/2)</f>
        <v>64.483465052535408</v>
      </c>
      <c r="CA342" s="45">
        <v>2000</v>
      </c>
      <c r="CB342" s="55">
        <f t="shared" si="177"/>
        <v>20.570428377749447</v>
      </c>
      <c r="CC342" s="46" t="s">
        <v>281</v>
      </c>
      <c r="CD342" s="46" t="s">
        <v>151</v>
      </c>
      <c r="CE342" s="46" t="s">
        <v>783</v>
      </c>
      <c r="CF342" s="46">
        <v>2</v>
      </c>
      <c r="CG342" s="46" t="str">
        <f t="shared" si="174"/>
        <v>Yes</v>
      </c>
      <c r="CH342" s="46" t="s">
        <v>35</v>
      </c>
      <c r="CI342" s="56">
        <v>25</v>
      </c>
      <c r="CJ342" s="46">
        <v>50</v>
      </c>
      <c r="CK342" s="46" t="s">
        <v>23</v>
      </c>
      <c r="CL342" s="49" t="s">
        <v>29</v>
      </c>
      <c r="CM342" s="50">
        <v>0</v>
      </c>
      <c r="CN342" s="50"/>
      <c r="CO342" s="50"/>
      <c r="CP342" s="46" t="s">
        <v>23</v>
      </c>
      <c r="CQ342" s="46" t="s">
        <v>23</v>
      </c>
      <c r="CR342" s="46">
        <v>11</v>
      </c>
      <c r="CS342" s="46" t="s">
        <v>854</v>
      </c>
      <c r="CT342" s="46" t="s">
        <v>53</v>
      </c>
      <c r="CU342" s="46" t="s">
        <v>29</v>
      </c>
      <c r="CV342" s="46" t="s">
        <v>23</v>
      </c>
      <c r="CW342" s="46" t="s">
        <v>23</v>
      </c>
      <c r="CX342" s="49" t="s">
        <v>928</v>
      </c>
      <c r="CY342" s="49" t="s">
        <v>295</v>
      </c>
      <c r="CZ342" s="49">
        <v>0</v>
      </c>
      <c r="DA342" s="49">
        <v>0</v>
      </c>
      <c r="DB342" s="64">
        <v>494190</v>
      </c>
      <c r="DC342" s="58">
        <v>49.19</v>
      </c>
      <c r="DD342" s="58">
        <v>3.8899999999999997</v>
      </c>
      <c r="DE342" s="58">
        <v>20.979999999999997</v>
      </c>
      <c r="DF342" s="58">
        <v>21.85</v>
      </c>
      <c r="DG342" s="58">
        <v>4.0899999999999936</v>
      </c>
      <c r="DH342" s="58">
        <v>50.81</v>
      </c>
      <c r="DI342" s="45" t="s">
        <v>35</v>
      </c>
      <c r="DJ342" s="59" t="str">
        <f t="shared" si="175"/>
        <v>No single majority group</v>
      </c>
      <c r="DK342" s="65">
        <v>494190</v>
      </c>
      <c r="DL342" s="58">
        <v>49.19</v>
      </c>
      <c r="DM342" s="58">
        <v>3.8899999999999997</v>
      </c>
      <c r="DN342" s="58">
        <v>20.979999999999997</v>
      </c>
      <c r="DO342" s="58">
        <v>50.81</v>
      </c>
      <c r="DP342" s="82">
        <v>49.2</v>
      </c>
      <c r="DQ342" s="67">
        <v>96568.22</v>
      </c>
      <c r="DR342" s="58">
        <v>8.8000000000000007</v>
      </c>
      <c r="DS342" s="58">
        <v>68.099999999999994</v>
      </c>
      <c r="DT342" s="53">
        <v>61.8</v>
      </c>
      <c r="DU342" s="55">
        <v>3.2</v>
      </c>
      <c r="DV342" s="102">
        <v>32.6</v>
      </c>
      <c r="DW342" s="58">
        <v>78.3</v>
      </c>
      <c r="DX342" s="53">
        <v>71.634799999999998</v>
      </c>
      <c r="DY342" s="58">
        <v>41.6036</v>
      </c>
      <c r="DZ342" s="63"/>
    </row>
    <row r="343" spans="1:130" s="5" customFormat="1" ht="14.25" hidden="1" customHeight="1">
      <c r="A343" s="45">
        <v>1323</v>
      </c>
      <c r="B343" s="46" t="s">
        <v>292</v>
      </c>
      <c r="C343" s="47">
        <v>2004</v>
      </c>
      <c r="D343" s="47" t="s">
        <v>306</v>
      </c>
      <c r="E343" s="46" t="s">
        <v>224</v>
      </c>
      <c r="F343" s="46">
        <v>4</v>
      </c>
      <c r="G343" s="48">
        <v>85000</v>
      </c>
      <c r="H343" s="46" t="s">
        <v>249</v>
      </c>
      <c r="I343" s="46">
        <v>1</v>
      </c>
      <c r="J343" s="47">
        <v>4</v>
      </c>
      <c r="K343" s="45" t="s">
        <v>312</v>
      </c>
      <c r="L343" s="45" t="s">
        <v>40</v>
      </c>
      <c r="M343" s="49" t="s">
        <v>35</v>
      </c>
      <c r="N343" s="49" t="s">
        <v>512</v>
      </c>
      <c r="O343" s="49"/>
      <c r="P343" s="45" t="s">
        <v>31</v>
      </c>
      <c r="Q343" s="49" t="s">
        <v>29</v>
      </c>
      <c r="R343" s="49">
        <v>1</v>
      </c>
      <c r="S343" s="50">
        <f t="shared" si="168"/>
        <v>25</v>
      </c>
      <c r="T343" s="49">
        <v>1</v>
      </c>
      <c r="U343" s="50">
        <f t="shared" si="169"/>
        <v>25</v>
      </c>
      <c r="V343" s="49" t="s">
        <v>789</v>
      </c>
      <c r="W343" s="49">
        <v>0</v>
      </c>
      <c r="X343" s="50">
        <f t="shared" si="170"/>
        <v>0</v>
      </c>
      <c r="Y343" s="51" t="str">
        <f t="shared" si="171"/>
        <v>No</v>
      </c>
      <c r="Z343" s="49" t="s">
        <v>35</v>
      </c>
      <c r="AA343" s="49" t="s">
        <v>23</v>
      </c>
      <c r="AB343" s="49" t="s">
        <v>23</v>
      </c>
      <c r="AC343" s="47" t="s">
        <v>26</v>
      </c>
      <c r="AD343" s="46" t="s">
        <v>27</v>
      </c>
      <c r="AE343" s="46" t="s">
        <v>89</v>
      </c>
      <c r="AF343" s="46" t="s">
        <v>29</v>
      </c>
      <c r="AG343" s="103"/>
      <c r="AH343" s="52">
        <v>17134</v>
      </c>
      <c r="AI343" s="52">
        <v>32264</v>
      </c>
      <c r="AJ343" s="108">
        <v>36.229999999999997</v>
      </c>
      <c r="AK343" s="104">
        <v>72.459999999999994</v>
      </c>
      <c r="AL343" s="108">
        <v>50.64</v>
      </c>
      <c r="AM343" s="108"/>
      <c r="AN343" s="53">
        <f t="shared" si="172"/>
        <v>101.28</v>
      </c>
      <c r="AO343" s="53">
        <v>48.6</v>
      </c>
      <c r="AP343" s="108"/>
      <c r="AQ343" s="108"/>
      <c r="AR343" s="108"/>
      <c r="AS343" s="108"/>
      <c r="AT343" s="108"/>
      <c r="AU343" s="108"/>
      <c r="AV343" s="108"/>
      <c r="AW343" s="108"/>
      <c r="AX343" s="108"/>
      <c r="AY343" s="108"/>
      <c r="AZ343" s="108"/>
      <c r="BA343" s="108"/>
      <c r="BB343" s="108"/>
      <c r="BC343" s="108"/>
      <c r="BD343" s="108"/>
      <c r="BE343" s="108"/>
      <c r="BF343" s="108"/>
      <c r="BG343" s="108"/>
      <c r="BH343" s="108"/>
      <c r="BI343" s="108"/>
      <c r="BJ343" s="108"/>
      <c r="BK343" s="108"/>
      <c r="BL343" s="108"/>
      <c r="BM343" s="108"/>
      <c r="BN343" s="108"/>
      <c r="BO343" s="108"/>
      <c r="BP343" s="108"/>
      <c r="BQ343" s="108"/>
      <c r="BR343" s="108"/>
      <c r="BS343" s="54" t="s">
        <v>35</v>
      </c>
      <c r="BT343" s="45" t="str">
        <f t="shared" si="178"/>
        <v>Yes</v>
      </c>
      <c r="BU343" s="45" t="str">
        <f t="shared" si="179"/>
        <v>Yes</v>
      </c>
      <c r="BV343" s="45" t="str">
        <f t="shared" si="180"/>
        <v>No</v>
      </c>
      <c r="BW343" s="55">
        <v>63.965014371865003</v>
      </c>
      <c r="BX343" s="55"/>
      <c r="BY343" s="55">
        <v>65.195014371865</v>
      </c>
      <c r="BZ343" s="55"/>
      <c r="CA343" s="45">
        <v>2004</v>
      </c>
      <c r="CB343" s="55">
        <f t="shared" si="177"/>
        <v>56.731902023878597</v>
      </c>
      <c r="CC343" s="46" t="s">
        <v>281</v>
      </c>
      <c r="CD343" s="46" t="s">
        <v>151</v>
      </c>
      <c r="CE343" s="46" t="s">
        <v>783</v>
      </c>
      <c r="CF343" s="46">
        <v>2</v>
      </c>
      <c r="CG343" s="46" t="str">
        <f t="shared" si="174"/>
        <v>Yes</v>
      </c>
      <c r="CH343" s="46" t="s">
        <v>35</v>
      </c>
      <c r="CI343" s="56">
        <v>25</v>
      </c>
      <c r="CJ343" s="46">
        <v>50</v>
      </c>
      <c r="CK343" s="46" t="s">
        <v>23</v>
      </c>
      <c r="CL343" s="49" t="s">
        <v>29</v>
      </c>
      <c r="CM343" s="50">
        <v>0</v>
      </c>
      <c r="CN343" s="50"/>
      <c r="CO343" s="50"/>
      <c r="CP343" s="46" t="s">
        <v>23</v>
      </c>
      <c r="CQ343" s="46" t="s">
        <v>24</v>
      </c>
      <c r="CR343" s="46">
        <v>11</v>
      </c>
      <c r="CS343" s="46" t="s">
        <v>854</v>
      </c>
      <c r="CT343" s="46" t="s">
        <v>856</v>
      </c>
      <c r="CU343" s="46" t="s">
        <v>29</v>
      </c>
      <c r="CV343" s="46" t="s">
        <v>23</v>
      </c>
      <c r="CW343" s="46" t="s">
        <v>23</v>
      </c>
      <c r="CX343" s="49" t="s">
        <v>928</v>
      </c>
      <c r="CY343" s="49" t="s">
        <v>295</v>
      </c>
      <c r="CZ343" s="49">
        <v>0</v>
      </c>
      <c r="DA343" s="49">
        <v>0</v>
      </c>
      <c r="DB343" s="64">
        <v>56871</v>
      </c>
      <c r="DC343" s="58">
        <v>66.75</v>
      </c>
      <c r="DD343" s="58">
        <v>2.44</v>
      </c>
      <c r="DE343" s="58">
        <v>10.97</v>
      </c>
      <c r="DF343" s="58">
        <v>15.5</v>
      </c>
      <c r="DG343" s="58">
        <v>5.4315907931986418</v>
      </c>
      <c r="DH343" s="58">
        <v>33.25</v>
      </c>
      <c r="DI343" s="45" t="s">
        <v>29</v>
      </c>
      <c r="DJ343" s="59" t="str">
        <f t="shared" si="175"/>
        <v>N/A</v>
      </c>
      <c r="DK343" s="65">
        <v>56871</v>
      </c>
      <c r="DL343" s="58">
        <v>66.75</v>
      </c>
      <c r="DM343" s="58">
        <v>2.44</v>
      </c>
      <c r="DN343" s="58">
        <v>10.97</v>
      </c>
      <c r="DO343" s="58">
        <v>33.25</v>
      </c>
      <c r="DP343" s="82">
        <v>49.2</v>
      </c>
      <c r="DQ343" s="67">
        <v>96568.22</v>
      </c>
      <c r="DR343" s="58">
        <v>8.8000000000000007</v>
      </c>
      <c r="DS343" s="58">
        <v>68.099999999999994</v>
      </c>
      <c r="DT343" s="53">
        <v>61.8</v>
      </c>
      <c r="DU343" s="55">
        <v>3.2</v>
      </c>
      <c r="DV343" s="102">
        <v>32.6</v>
      </c>
      <c r="DW343" s="58">
        <v>78.3</v>
      </c>
      <c r="DX343" s="53">
        <v>71.634799999999998</v>
      </c>
      <c r="DY343" s="58">
        <v>41.6036</v>
      </c>
      <c r="DZ343" s="63"/>
    </row>
    <row r="344" spans="1:130" s="5" customFormat="1" ht="14.25" hidden="1" customHeight="1">
      <c r="A344" s="45">
        <v>1319</v>
      </c>
      <c r="B344" s="46" t="s">
        <v>292</v>
      </c>
      <c r="C344" s="47">
        <v>2004</v>
      </c>
      <c r="D344" s="47" t="s">
        <v>91</v>
      </c>
      <c r="E344" s="46" t="s">
        <v>92</v>
      </c>
      <c r="F344" s="46">
        <v>4</v>
      </c>
      <c r="G344" s="48">
        <v>85000</v>
      </c>
      <c r="H344" s="46" t="s">
        <v>249</v>
      </c>
      <c r="I344" s="46">
        <v>1</v>
      </c>
      <c r="J344" s="47">
        <v>2</v>
      </c>
      <c r="K344" s="45" t="s">
        <v>316</v>
      </c>
      <c r="L344" s="45" t="s">
        <v>30</v>
      </c>
      <c r="M344" s="49" t="s">
        <v>29</v>
      </c>
      <c r="N344" s="49" t="s">
        <v>513</v>
      </c>
      <c r="O344" s="49"/>
      <c r="P344" s="45" t="s">
        <v>201</v>
      </c>
      <c r="Q344" s="49" t="s">
        <v>35</v>
      </c>
      <c r="R344" s="49">
        <v>0</v>
      </c>
      <c r="S344" s="50">
        <f t="shared" si="168"/>
        <v>0</v>
      </c>
      <c r="T344" s="49">
        <v>1</v>
      </c>
      <c r="U344" s="50">
        <f t="shared" si="169"/>
        <v>50</v>
      </c>
      <c r="V344" s="49" t="s">
        <v>858</v>
      </c>
      <c r="W344" s="49">
        <v>0</v>
      </c>
      <c r="X344" s="50">
        <f t="shared" si="170"/>
        <v>0</v>
      </c>
      <c r="Y344" s="51" t="str">
        <f t="shared" si="171"/>
        <v>No</v>
      </c>
      <c r="Z344" s="49" t="s">
        <v>29</v>
      </c>
      <c r="AA344" s="49" t="s">
        <v>35</v>
      </c>
      <c r="AB344" s="49" t="s">
        <v>29</v>
      </c>
      <c r="AC344" s="47" t="s">
        <v>151</v>
      </c>
      <c r="AD344" s="46" t="s">
        <v>152</v>
      </c>
      <c r="AE344" s="46" t="s">
        <v>89</v>
      </c>
      <c r="AF344" s="46" t="s">
        <v>29</v>
      </c>
      <c r="AG344" s="103"/>
      <c r="AH344" s="52">
        <v>13315</v>
      </c>
      <c r="AI344" s="52">
        <v>13315</v>
      </c>
      <c r="AJ344" s="108">
        <v>70.75</v>
      </c>
      <c r="AK344" s="104">
        <v>141.5</v>
      </c>
      <c r="AL344" s="108">
        <v>70.75</v>
      </c>
      <c r="AM344" s="108"/>
      <c r="AN344" s="53">
        <f t="shared" si="172"/>
        <v>141.5</v>
      </c>
      <c r="AO344" s="53">
        <v>29.25</v>
      </c>
      <c r="AP344" s="108"/>
      <c r="AQ344" s="108"/>
      <c r="AR344" s="108"/>
      <c r="AS344" s="108"/>
      <c r="AT344" s="108"/>
      <c r="AU344" s="108"/>
      <c r="AV344" s="108"/>
      <c r="AW344" s="108"/>
      <c r="AX344" s="108"/>
      <c r="AY344" s="108"/>
      <c r="AZ344" s="108"/>
      <c r="BA344" s="108"/>
      <c r="BB344" s="108"/>
      <c r="BC344" s="108"/>
      <c r="BD344" s="108"/>
      <c r="BE344" s="108"/>
      <c r="BF344" s="108"/>
      <c r="BG344" s="108"/>
      <c r="BH344" s="108"/>
      <c r="BI344" s="108"/>
      <c r="BJ344" s="108"/>
      <c r="BK344" s="108"/>
      <c r="BL344" s="108"/>
      <c r="BM344" s="108"/>
      <c r="BN344" s="108"/>
      <c r="BO344" s="108"/>
      <c r="BP344" s="108"/>
      <c r="BQ344" s="108"/>
      <c r="BR344" s="108"/>
      <c r="BS344" s="54" t="s">
        <v>29</v>
      </c>
      <c r="BT344" s="45" t="str">
        <f t="shared" si="178"/>
        <v>No</v>
      </c>
      <c r="BU344" s="45" t="str">
        <f t="shared" si="179"/>
        <v>No</v>
      </c>
      <c r="BV344" s="45" t="str">
        <f t="shared" si="180"/>
        <v>No</v>
      </c>
      <c r="BW344" s="55">
        <v>63.96501437186496</v>
      </c>
      <c r="BX344" s="55"/>
      <c r="BY344" s="55">
        <v>65.195014371864957</v>
      </c>
      <c r="BZ344" s="55"/>
      <c r="CA344" s="45">
        <v>2004</v>
      </c>
      <c r="CB344" s="55">
        <f t="shared" si="177"/>
        <v>24.215254792128906</v>
      </c>
      <c r="CC344" s="46" t="s">
        <v>281</v>
      </c>
      <c r="CD344" s="46" t="s">
        <v>151</v>
      </c>
      <c r="CE344" s="46" t="s">
        <v>783</v>
      </c>
      <c r="CF344" s="46">
        <v>2</v>
      </c>
      <c r="CG344" s="46" t="str">
        <f t="shared" si="174"/>
        <v>Yes</v>
      </c>
      <c r="CH344" s="46" t="s">
        <v>35</v>
      </c>
      <c r="CI344" s="56">
        <v>25</v>
      </c>
      <c r="CJ344" s="46">
        <v>50</v>
      </c>
      <c r="CK344" s="46" t="s">
        <v>23</v>
      </c>
      <c r="CL344" s="49" t="s">
        <v>29</v>
      </c>
      <c r="CM344" s="50">
        <v>0</v>
      </c>
      <c r="CN344" s="50"/>
      <c r="CO344" s="50"/>
      <c r="CP344" s="46" t="s">
        <v>23</v>
      </c>
      <c r="CQ344" s="46" t="s">
        <v>24</v>
      </c>
      <c r="CR344" s="46">
        <v>11</v>
      </c>
      <c r="CS344" s="46" t="s">
        <v>854</v>
      </c>
      <c r="CT344" s="46" t="s">
        <v>856</v>
      </c>
      <c r="CU344" s="46" t="s">
        <v>29</v>
      </c>
      <c r="CV344" s="46" t="s">
        <v>23</v>
      </c>
      <c r="CW344" s="46" t="s">
        <v>23</v>
      </c>
      <c r="CX344" s="49" t="s">
        <v>928</v>
      </c>
      <c r="CY344" s="49" t="s">
        <v>295</v>
      </c>
      <c r="CZ344" s="49">
        <v>0</v>
      </c>
      <c r="DA344" s="49">
        <v>0</v>
      </c>
      <c r="DB344" s="64">
        <v>54986</v>
      </c>
      <c r="DC344" s="58">
        <v>55.1</v>
      </c>
      <c r="DD344" s="58">
        <v>4.5699999999999994</v>
      </c>
      <c r="DE344" s="58">
        <v>19.29</v>
      </c>
      <c r="DF344" s="58">
        <v>16.68</v>
      </c>
      <c r="DG344" s="58">
        <v>5.8196631869930533</v>
      </c>
      <c r="DH344" s="58">
        <v>44.9</v>
      </c>
      <c r="DI344" s="45" t="s">
        <v>29</v>
      </c>
      <c r="DJ344" s="59" t="str">
        <f t="shared" si="175"/>
        <v>N/A</v>
      </c>
      <c r="DK344" s="65">
        <v>54986</v>
      </c>
      <c r="DL344" s="58">
        <v>55.1</v>
      </c>
      <c r="DM344" s="58">
        <v>4.5699999999999994</v>
      </c>
      <c r="DN344" s="58">
        <v>19.29</v>
      </c>
      <c r="DO344" s="58">
        <v>44.9</v>
      </c>
      <c r="DP344" s="82">
        <v>49.2</v>
      </c>
      <c r="DQ344" s="67">
        <v>96568.22</v>
      </c>
      <c r="DR344" s="58">
        <v>8.8000000000000007</v>
      </c>
      <c r="DS344" s="58">
        <v>68.099999999999994</v>
      </c>
      <c r="DT344" s="53">
        <v>61.8</v>
      </c>
      <c r="DU344" s="55">
        <v>3.2</v>
      </c>
      <c r="DV344" s="102">
        <v>32.6</v>
      </c>
      <c r="DW344" s="58">
        <v>78.3</v>
      </c>
      <c r="DX344" s="53">
        <v>71.634799999999998</v>
      </c>
      <c r="DY344" s="58">
        <v>41.6036</v>
      </c>
      <c r="DZ344" s="63"/>
    </row>
    <row r="345" spans="1:130" s="5" customFormat="1" ht="14.25" hidden="1" customHeight="1">
      <c r="A345" s="45">
        <v>1320</v>
      </c>
      <c r="B345" s="46" t="s">
        <v>292</v>
      </c>
      <c r="C345" s="47">
        <v>2004</v>
      </c>
      <c r="D345" s="47" t="s">
        <v>79</v>
      </c>
      <c r="E345" s="46" t="s">
        <v>80</v>
      </c>
      <c r="F345" s="46">
        <v>4</v>
      </c>
      <c r="G345" s="48">
        <v>85000</v>
      </c>
      <c r="H345" s="46" t="s">
        <v>249</v>
      </c>
      <c r="I345" s="46">
        <v>1</v>
      </c>
      <c r="J345" s="47">
        <v>2</v>
      </c>
      <c r="K345" s="45" t="s">
        <v>308</v>
      </c>
      <c r="L345" s="45" t="s">
        <v>30</v>
      </c>
      <c r="M345" s="49" t="s">
        <v>29</v>
      </c>
      <c r="N345" s="49" t="s">
        <v>513</v>
      </c>
      <c r="O345" s="49"/>
      <c r="P345" s="45" t="s">
        <v>31</v>
      </c>
      <c r="Q345" s="49" t="s">
        <v>29</v>
      </c>
      <c r="R345" s="49">
        <v>0</v>
      </c>
      <c r="S345" s="50">
        <f t="shared" si="168"/>
        <v>0</v>
      </c>
      <c r="T345" s="49">
        <v>0</v>
      </c>
      <c r="U345" s="50">
        <f t="shared" si="169"/>
        <v>0</v>
      </c>
      <c r="V345" s="45"/>
      <c r="W345" s="49">
        <v>0</v>
      </c>
      <c r="X345" s="50">
        <f t="shared" si="170"/>
        <v>0</v>
      </c>
      <c r="Y345" s="51" t="str">
        <f t="shared" si="171"/>
        <v>No</v>
      </c>
      <c r="Z345" s="49" t="s">
        <v>29</v>
      </c>
      <c r="AA345" s="49" t="s">
        <v>29</v>
      </c>
      <c r="AB345" s="49" t="s">
        <v>29</v>
      </c>
      <c r="AC345" s="47" t="s">
        <v>151</v>
      </c>
      <c r="AD345" s="46" t="s">
        <v>152</v>
      </c>
      <c r="AE345" s="46" t="s">
        <v>89</v>
      </c>
      <c r="AF345" s="46" t="s">
        <v>29</v>
      </c>
      <c r="AG345" s="103"/>
      <c r="AH345" s="52">
        <v>11873</v>
      </c>
      <c r="AI345" s="52">
        <v>11873</v>
      </c>
      <c r="AJ345" s="108">
        <v>86.11</v>
      </c>
      <c r="AK345" s="104">
        <v>172.22</v>
      </c>
      <c r="AL345" s="108">
        <v>86.11</v>
      </c>
      <c r="AM345" s="108"/>
      <c r="AN345" s="53">
        <f t="shared" si="172"/>
        <v>172.22</v>
      </c>
      <c r="AO345" s="53">
        <v>13.89</v>
      </c>
      <c r="AP345" s="108"/>
      <c r="AQ345" s="108"/>
      <c r="AR345" s="108"/>
      <c r="AS345" s="108"/>
      <c r="AT345" s="108"/>
      <c r="AU345" s="108"/>
      <c r="AV345" s="108"/>
      <c r="AW345" s="108"/>
      <c r="AX345" s="108"/>
      <c r="AY345" s="108"/>
      <c r="AZ345" s="108"/>
      <c r="BA345" s="108"/>
      <c r="BB345" s="108"/>
      <c r="BC345" s="108"/>
      <c r="BD345" s="108"/>
      <c r="BE345" s="108"/>
      <c r="BF345" s="108"/>
      <c r="BG345" s="108"/>
      <c r="BH345" s="108"/>
      <c r="BI345" s="108"/>
      <c r="BJ345" s="108"/>
      <c r="BK345" s="108"/>
      <c r="BL345" s="108"/>
      <c r="BM345" s="108"/>
      <c r="BN345" s="108"/>
      <c r="BO345" s="108"/>
      <c r="BP345" s="108"/>
      <c r="BQ345" s="108"/>
      <c r="BR345" s="108"/>
      <c r="BS345" s="54" t="s">
        <v>29</v>
      </c>
      <c r="BT345" s="45" t="str">
        <f t="shared" si="178"/>
        <v>No</v>
      </c>
      <c r="BU345" s="45" t="str">
        <f t="shared" si="179"/>
        <v>No</v>
      </c>
      <c r="BV345" s="45" t="str">
        <f t="shared" si="180"/>
        <v>No</v>
      </c>
      <c r="BW345" s="55">
        <v>63.96501437186496</v>
      </c>
      <c r="BX345" s="55"/>
      <c r="BY345" s="55">
        <v>65.195014371864957</v>
      </c>
      <c r="BZ345" s="55"/>
      <c r="CA345" s="45">
        <v>2004</v>
      </c>
      <c r="CB345" s="55">
        <f t="shared" si="177"/>
        <v>22.512751474241075</v>
      </c>
      <c r="CC345" s="46" t="s">
        <v>281</v>
      </c>
      <c r="CD345" s="46" t="s">
        <v>151</v>
      </c>
      <c r="CE345" s="46" t="s">
        <v>783</v>
      </c>
      <c r="CF345" s="46">
        <v>2</v>
      </c>
      <c r="CG345" s="46" t="str">
        <f t="shared" si="174"/>
        <v>Yes</v>
      </c>
      <c r="CH345" s="46" t="s">
        <v>35</v>
      </c>
      <c r="CI345" s="56">
        <v>25</v>
      </c>
      <c r="CJ345" s="46">
        <v>50</v>
      </c>
      <c r="CK345" s="46" t="s">
        <v>23</v>
      </c>
      <c r="CL345" s="49" t="s">
        <v>29</v>
      </c>
      <c r="CM345" s="50">
        <v>0</v>
      </c>
      <c r="CN345" s="50"/>
      <c r="CO345" s="50"/>
      <c r="CP345" s="46" t="s">
        <v>23</v>
      </c>
      <c r="CQ345" s="46" t="s">
        <v>24</v>
      </c>
      <c r="CR345" s="46">
        <v>11</v>
      </c>
      <c r="CS345" s="46" t="s">
        <v>854</v>
      </c>
      <c r="CT345" s="46" t="s">
        <v>856</v>
      </c>
      <c r="CU345" s="46" t="s">
        <v>29</v>
      </c>
      <c r="CV345" s="46" t="s">
        <v>23</v>
      </c>
      <c r="CW345" s="46" t="s">
        <v>23</v>
      </c>
      <c r="CX345" s="49" t="s">
        <v>928</v>
      </c>
      <c r="CY345" s="49" t="s">
        <v>295</v>
      </c>
      <c r="CZ345" s="49">
        <v>0</v>
      </c>
      <c r="DA345" s="49">
        <v>0</v>
      </c>
      <c r="DB345" s="64">
        <v>52739</v>
      </c>
      <c r="DC345" s="58">
        <v>35.11</v>
      </c>
      <c r="DD345" s="58">
        <v>4.0599999999999996</v>
      </c>
      <c r="DE345" s="58">
        <v>13.4</v>
      </c>
      <c r="DF345" s="58">
        <v>43.87</v>
      </c>
      <c r="DG345" s="58">
        <v>4.4634900168755571</v>
      </c>
      <c r="DH345" s="58">
        <v>64.89</v>
      </c>
      <c r="DI345" s="45" t="s">
        <v>35</v>
      </c>
      <c r="DJ345" s="59" t="str">
        <f t="shared" si="175"/>
        <v>No single majority group</v>
      </c>
      <c r="DK345" s="65">
        <v>52739</v>
      </c>
      <c r="DL345" s="58">
        <v>35.11</v>
      </c>
      <c r="DM345" s="58">
        <v>4.0599999999999996</v>
      </c>
      <c r="DN345" s="58">
        <v>13.4</v>
      </c>
      <c r="DO345" s="58">
        <v>64.89</v>
      </c>
      <c r="DP345" s="82">
        <v>49.2</v>
      </c>
      <c r="DQ345" s="67">
        <v>96568.22</v>
      </c>
      <c r="DR345" s="58">
        <v>8.8000000000000007</v>
      </c>
      <c r="DS345" s="58">
        <v>68.099999999999994</v>
      </c>
      <c r="DT345" s="53">
        <v>61.8</v>
      </c>
      <c r="DU345" s="55">
        <v>3.2</v>
      </c>
      <c r="DV345" s="102">
        <v>32.6</v>
      </c>
      <c r="DW345" s="58">
        <v>78.3</v>
      </c>
      <c r="DX345" s="53">
        <v>71.634799999999998</v>
      </c>
      <c r="DY345" s="58">
        <v>41.6036</v>
      </c>
      <c r="DZ345" s="63"/>
    </row>
    <row r="346" spans="1:130" s="5" customFormat="1" ht="14.25" hidden="1" customHeight="1">
      <c r="A346" s="45">
        <v>1321</v>
      </c>
      <c r="B346" s="46" t="s">
        <v>292</v>
      </c>
      <c r="C346" s="47">
        <v>2004</v>
      </c>
      <c r="D346" s="47" t="s">
        <v>100</v>
      </c>
      <c r="E346" s="46" t="s">
        <v>101</v>
      </c>
      <c r="F346" s="46">
        <v>4</v>
      </c>
      <c r="G346" s="48">
        <v>85000</v>
      </c>
      <c r="H346" s="46" t="s">
        <v>249</v>
      </c>
      <c r="I346" s="46">
        <v>1</v>
      </c>
      <c r="J346" s="47">
        <v>2</v>
      </c>
      <c r="K346" s="45" t="s">
        <v>317</v>
      </c>
      <c r="L346" s="45" t="s">
        <v>30</v>
      </c>
      <c r="M346" s="49" t="s">
        <v>29</v>
      </c>
      <c r="N346" s="49" t="s">
        <v>513</v>
      </c>
      <c r="O346" s="49"/>
      <c r="P346" s="45" t="s">
        <v>31</v>
      </c>
      <c r="Q346" s="49" t="s">
        <v>29</v>
      </c>
      <c r="R346" s="49">
        <v>0</v>
      </c>
      <c r="S346" s="50">
        <f t="shared" si="168"/>
        <v>0</v>
      </c>
      <c r="T346" s="49">
        <v>0</v>
      </c>
      <c r="U346" s="50">
        <f t="shared" si="169"/>
        <v>0</v>
      </c>
      <c r="V346" s="45"/>
      <c r="W346" s="49">
        <v>0</v>
      </c>
      <c r="X346" s="50">
        <f t="shared" si="170"/>
        <v>0</v>
      </c>
      <c r="Y346" s="51" t="str">
        <f t="shared" si="171"/>
        <v>No</v>
      </c>
      <c r="Z346" s="49" t="s">
        <v>29</v>
      </c>
      <c r="AA346" s="49" t="s">
        <v>29</v>
      </c>
      <c r="AB346" s="49" t="s">
        <v>29</v>
      </c>
      <c r="AC346" s="47" t="s">
        <v>151</v>
      </c>
      <c r="AD346" s="46" t="s">
        <v>152</v>
      </c>
      <c r="AE346" s="46" t="s">
        <v>89</v>
      </c>
      <c r="AF346" s="46" t="s">
        <v>29</v>
      </c>
      <c r="AG346" s="103"/>
      <c r="AH346" s="52">
        <v>17375</v>
      </c>
      <c r="AI346" s="52">
        <v>17375</v>
      </c>
      <c r="AJ346" s="108">
        <v>85.64</v>
      </c>
      <c r="AK346" s="104">
        <v>171.28</v>
      </c>
      <c r="AL346" s="108">
        <v>85.64</v>
      </c>
      <c r="AM346" s="108"/>
      <c r="AN346" s="53">
        <f t="shared" si="172"/>
        <v>171.28</v>
      </c>
      <c r="AO346" s="53">
        <v>14.36</v>
      </c>
      <c r="AP346" s="108"/>
      <c r="AQ346" s="108"/>
      <c r="AR346" s="108"/>
      <c r="AS346" s="108"/>
      <c r="AT346" s="108"/>
      <c r="AU346" s="108"/>
      <c r="AV346" s="108"/>
      <c r="AW346" s="108"/>
      <c r="AX346" s="108"/>
      <c r="AY346" s="108"/>
      <c r="AZ346" s="108"/>
      <c r="BA346" s="108"/>
      <c r="BB346" s="108"/>
      <c r="BC346" s="108"/>
      <c r="BD346" s="108"/>
      <c r="BE346" s="108"/>
      <c r="BF346" s="108"/>
      <c r="BG346" s="108"/>
      <c r="BH346" s="108"/>
      <c r="BI346" s="108"/>
      <c r="BJ346" s="108"/>
      <c r="BK346" s="108"/>
      <c r="BL346" s="108"/>
      <c r="BM346" s="108"/>
      <c r="BN346" s="108"/>
      <c r="BO346" s="108"/>
      <c r="BP346" s="108"/>
      <c r="BQ346" s="108"/>
      <c r="BR346" s="108"/>
      <c r="BS346" s="54" t="s">
        <v>29</v>
      </c>
      <c r="BT346" s="45" t="str">
        <f t="shared" si="178"/>
        <v>No</v>
      </c>
      <c r="BU346" s="45" t="str">
        <f t="shared" si="179"/>
        <v>No</v>
      </c>
      <c r="BV346" s="45" t="str">
        <f t="shared" si="180"/>
        <v>No</v>
      </c>
      <c r="BW346" s="55">
        <v>63.965014371865003</v>
      </c>
      <c r="BX346" s="55"/>
      <c r="BY346" s="55">
        <v>65.195014371865</v>
      </c>
      <c r="BZ346" s="55"/>
      <c r="CA346" s="45">
        <v>2004</v>
      </c>
      <c r="CB346" s="55">
        <f t="shared" si="177"/>
        <v>31.087851136160317</v>
      </c>
      <c r="CC346" s="46" t="s">
        <v>281</v>
      </c>
      <c r="CD346" s="46" t="s">
        <v>151</v>
      </c>
      <c r="CE346" s="46" t="s">
        <v>783</v>
      </c>
      <c r="CF346" s="46">
        <v>2</v>
      </c>
      <c r="CG346" s="46" t="str">
        <f t="shared" si="174"/>
        <v>Yes</v>
      </c>
      <c r="CH346" s="46" t="s">
        <v>35</v>
      </c>
      <c r="CI346" s="56">
        <v>25</v>
      </c>
      <c r="CJ346" s="46">
        <v>50</v>
      </c>
      <c r="CK346" s="46" t="s">
        <v>23</v>
      </c>
      <c r="CL346" s="49" t="s">
        <v>29</v>
      </c>
      <c r="CM346" s="50">
        <v>0</v>
      </c>
      <c r="CN346" s="50"/>
      <c r="CO346" s="50"/>
      <c r="CP346" s="46" t="s">
        <v>23</v>
      </c>
      <c r="CQ346" s="46" t="s">
        <v>24</v>
      </c>
      <c r="CR346" s="46">
        <v>11</v>
      </c>
      <c r="CS346" s="46" t="s">
        <v>854</v>
      </c>
      <c r="CT346" s="46" t="s">
        <v>856</v>
      </c>
      <c r="CU346" s="46" t="s">
        <v>29</v>
      </c>
      <c r="CV346" s="46" t="s">
        <v>23</v>
      </c>
      <c r="CW346" s="46" t="s">
        <v>23</v>
      </c>
      <c r="CX346" s="49" t="s">
        <v>928</v>
      </c>
      <c r="CY346" s="49" t="s">
        <v>295</v>
      </c>
      <c r="CZ346" s="49">
        <v>0</v>
      </c>
      <c r="DA346" s="49">
        <v>0</v>
      </c>
      <c r="DB346" s="64">
        <v>55890</v>
      </c>
      <c r="DC346" s="58">
        <v>66.759999999999991</v>
      </c>
      <c r="DD346" s="58">
        <v>3.38</v>
      </c>
      <c r="DE346" s="58">
        <v>18.68</v>
      </c>
      <c r="DF346" s="58">
        <v>7.08</v>
      </c>
      <c r="DG346" s="58">
        <v>5.4124172481660402</v>
      </c>
      <c r="DH346" s="58">
        <v>33.24</v>
      </c>
      <c r="DI346" s="45" t="s">
        <v>29</v>
      </c>
      <c r="DJ346" s="59" t="str">
        <f t="shared" si="175"/>
        <v>N/A</v>
      </c>
      <c r="DK346" s="65">
        <v>55890</v>
      </c>
      <c r="DL346" s="58">
        <v>66.759999999999991</v>
      </c>
      <c r="DM346" s="58">
        <v>3.38</v>
      </c>
      <c r="DN346" s="58">
        <v>18.68</v>
      </c>
      <c r="DO346" s="58">
        <v>33.24</v>
      </c>
      <c r="DP346" s="82">
        <v>49.2</v>
      </c>
      <c r="DQ346" s="67">
        <v>96568.22</v>
      </c>
      <c r="DR346" s="58">
        <v>8.8000000000000007</v>
      </c>
      <c r="DS346" s="58">
        <v>68.099999999999994</v>
      </c>
      <c r="DT346" s="53">
        <v>61.8</v>
      </c>
      <c r="DU346" s="55">
        <v>3.2</v>
      </c>
      <c r="DV346" s="102">
        <v>32.6</v>
      </c>
      <c r="DW346" s="58">
        <v>78.3</v>
      </c>
      <c r="DX346" s="53">
        <v>71.634799999999998</v>
      </c>
      <c r="DY346" s="58">
        <v>41.6036</v>
      </c>
      <c r="DZ346" s="63"/>
    </row>
    <row r="347" spans="1:130" s="5" customFormat="1" ht="14.25" hidden="1" customHeight="1">
      <c r="A347" s="45">
        <v>1322</v>
      </c>
      <c r="B347" s="46" t="s">
        <v>292</v>
      </c>
      <c r="C347" s="47">
        <v>2004</v>
      </c>
      <c r="D347" s="47" t="s">
        <v>85</v>
      </c>
      <c r="E347" s="46" t="s">
        <v>86</v>
      </c>
      <c r="F347" s="46">
        <v>4</v>
      </c>
      <c r="G347" s="48">
        <v>85000</v>
      </c>
      <c r="H347" s="46" t="s">
        <v>249</v>
      </c>
      <c r="I347" s="46">
        <v>1</v>
      </c>
      <c r="J347" s="47">
        <v>1</v>
      </c>
      <c r="K347" s="45" t="s">
        <v>318</v>
      </c>
      <c r="L347" s="45" t="s">
        <v>30</v>
      </c>
      <c r="M347" s="49" t="s">
        <v>29</v>
      </c>
      <c r="N347" s="49" t="s">
        <v>513</v>
      </c>
      <c r="O347" s="49"/>
      <c r="P347" s="45" t="s">
        <v>31</v>
      </c>
      <c r="Q347" s="49" t="s">
        <v>29</v>
      </c>
      <c r="R347" s="49">
        <v>0</v>
      </c>
      <c r="S347" s="50">
        <f t="shared" si="168"/>
        <v>0</v>
      </c>
      <c r="T347" s="49">
        <v>0</v>
      </c>
      <c r="U347" s="50">
        <f t="shared" si="169"/>
        <v>0</v>
      </c>
      <c r="V347" s="45"/>
      <c r="W347" s="49">
        <v>0</v>
      </c>
      <c r="X347" s="50">
        <f t="shared" si="170"/>
        <v>0</v>
      </c>
      <c r="Y347" s="51" t="str">
        <f t="shared" si="171"/>
        <v>No</v>
      </c>
      <c r="Z347" s="49" t="s">
        <v>29</v>
      </c>
      <c r="AA347" s="49" t="s">
        <v>29</v>
      </c>
      <c r="AB347" s="49" t="s">
        <v>29</v>
      </c>
      <c r="AC347" s="47" t="s">
        <v>151</v>
      </c>
      <c r="AD347" s="46" t="s">
        <v>152</v>
      </c>
      <c r="AE347" s="46" t="s">
        <v>89</v>
      </c>
      <c r="AF347" s="46" t="s">
        <v>29</v>
      </c>
      <c r="AG347" s="103"/>
      <c r="AH347" s="52">
        <v>12855</v>
      </c>
      <c r="AI347" s="52">
        <v>12855</v>
      </c>
      <c r="AJ347" s="108">
        <v>100</v>
      </c>
      <c r="AK347" s="104">
        <v>200</v>
      </c>
      <c r="AL347" s="108">
        <v>100</v>
      </c>
      <c r="AM347" s="108"/>
      <c r="AN347" s="53">
        <f t="shared" si="172"/>
        <v>200</v>
      </c>
      <c r="AO347" s="53" t="s">
        <v>23</v>
      </c>
      <c r="AP347" s="108"/>
      <c r="AQ347" s="108"/>
      <c r="AR347" s="108"/>
      <c r="AS347" s="108"/>
      <c r="AT347" s="108"/>
      <c r="AU347" s="108"/>
      <c r="AV347" s="108"/>
      <c r="AW347" s="108"/>
      <c r="AX347" s="108"/>
      <c r="AY347" s="108"/>
      <c r="AZ347" s="108"/>
      <c r="BA347" s="108"/>
      <c r="BB347" s="108"/>
      <c r="BC347" s="108"/>
      <c r="BD347" s="108"/>
      <c r="BE347" s="108"/>
      <c r="BF347" s="108"/>
      <c r="BG347" s="108"/>
      <c r="BH347" s="108"/>
      <c r="BI347" s="108"/>
      <c r="BJ347" s="108"/>
      <c r="BK347" s="108"/>
      <c r="BL347" s="108"/>
      <c r="BM347" s="108"/>
      <c r="BN347" s="108"/>
      <c r="BO347" s="108"/>
      <c r="BP347" s="108"/>
      <c r="BQ347" s="108"/>
      <c r="BR347" s="108"/>
      <c r="BS347" s="54" t="s">
        <v>23</v>
      </c>
      <c r="BT347" s="45" t="str">
        <f t="shared" si="178"/>
        <v>No</v>
      </c>
      <c r="BU347" s="45" t="str">
        <f t="shared" si="179"/>
        <v>No</v>
      </c>
      <c r="BV347" s="45" t="str">
        <f t="shared" si="180"/>
        <v>No</v>
      </c>
      <c r="BW347" s="55">
        <v>63.965014371865003</v>
      </c>
      <c r="BX347" s="55"/>
      <c r="BY347" s="55">
        <v>65.195014371865</v>
      </c>
      <c r="BZ347" s="55"/>
      <c r="CA347" s="45">
        <v>2004</v>
      </c>
      <c r="CB347" s="55">
        <f t="shared" si="177"/>
        <v>23.784853923437009</v>
      </c>
      <c r="CC347" s="46" t="s">
        <v>281</v>
      </c>
      <c r="CD347" s="46" t="s">
        <v>151</v>
      </c>
      <c r="CE347" s="46" t="s">
        <v>783</v>
      </c>
      <c r="CF347" s="46">
        <v>2</v>
      </c>
      <c r="CG347" s="46" t="str">
        <f t="shared" si="174"/>
        <v>Yes</v>
      </c>
      <c r="CH347" s="46" t="s">
        <v>35</v>
      </c>
      <c r="CI347" s="56">
        <v>25</v>
      </c>
      <c r="CJ347" s="46">
        <v>50</v>
      </c>
      <c r="CK347" s="46" t="s">
        <v>23</v>
      </c>
      <c r="CL347" s="49" t="s">
        <v>29</v>
      </c>
      <c r="CM347" s="50">
        <v>0</v>
      </c>
      <c r="CN347" s="50"/>
      <c r="CO347" s="50"/>
      <c r="CP347" s="46" t="s">
        <v>23</v>
      </c>
      <c r="CQ347" s="46" t="s">
        <v>24</v>
      </c>
      <c r="CR347" s="46">
        <v>11</v>
      </c>
      <c r="CS347" s="46" t="s">
        <v>854</v>
      </c>
      <c r="CT347" s="46" t="s">
        <v>856</v>
      </c>
      <c r="CU347" s="46" t="s">
        <v>29</v>
      </c>
      <c r="CV347" s="46" t="s">
        <v>23</v>
      </c>
      <c r="CW347" s="46" t="s">
        <v>23</v>
      </c>
      <c r="CX347" s="49" t="s">
        <v>928</v>
      </c>
      <c r="CY347" s="49" t="s">
        <v>295</v>
      </c>
      <c r="CZ347" s="49">
        <v>0</v>
      </c>
      <c r="DA347" s="49">
        <v>0</v>
      </c>
      <c r="DB347" s="64">
        <v>54047</v>
      </c>
      <c r="DC347" s="58">
        <v>33.22</v>
      </c>
      <c r="DD347" s="58">
        <v>5</v>
      </c>
      <c r="DE347" s="58">
        <v>21.94</v>
      </c>
      <c r="DF347" s="58">
        <v>36.449999999999996</v>
      </c>
      <c r="DG347" s="58">
        <v>4.5737968804929041</v>
      </c>
      <c r="DH347" s="58">
        <v>66.78</v>
      </c>
      <c r="DI347" s="45" t="s">
        <v>35</v>
      </c>
      <c r="DJ347" s="59" t="str">
        <f t="shared" si="175"/>
        <v>No single majority group</v>
      </c>
      <c r="DK347" s="65">
        <v>54047</v>
      </c>
      <c r="DL347" s="58">
        <v>33.22</v>
      </c>
      <c r="DM347" s="58">
        <v>5</v>
      </c>
      <c r="DN347" s="58">
        <v>21.94</v>
      </c>
      <c r="DO347" s="58">
        <v>66.78</v>
      </c>
      <c r="DP347" s="82">
        <v>49.2</v>
      </c>
      <c r="DQ347" s="67">
        <v>96568.22</v>
      </c>
      <c r="DR347" s="58">
        <v>8.8000000000000007</v>
      </c>
      <c r="DS347" s="58">
        <v>68.099999999999994</v>
      </c>
      <c r="DT347" s="53">
        <v>61.8</v>
      </c>
      <c r="DU347" s="55">
        <v>3.2</v>
      </c>
      <c r="DV347" s="102">
        <v>32.6</v>
      </c>
      <c r="DW347" s="58">
        <v>78.3</v>
      </c>
      <c r="DX347" s="53">
        <v>71.634799999999998</v>
      </c>
      <c r="DY347" s="58">
        <v>41.6036</v>
      </c>
      <c r="DZ347" s="63"/>
    </row>
    <row r="348" spans="1:130" s="5" customFormat="1" ht="14.25" hidden="1" customHeight="1">
      <c r="A348" s="45">
        <v>1318</v>
      </c>
      <c r="B348" s="46" t="s">
        <v>292</v>
      </c>
      <c r="C348" s="47">
        <v>2005</v>
      </c>
      <c r="D348" s="47" t="s">
        <v>82</v>
      </c>
      <c r="E348" s="46" t="s">
        <v>83</v>
      </c>
      <c r="F348" s="46">
        <v>1</v>
      </c>
      <c r="G348" s="48">
        <v>85000</v>
      </c>
      <c r="H348" s="46" t="s">
        <v>249</v>
      </c>
      <c r="I348" s="46">
        <v>1</v>
      </c>
      <c r="J348" s="47">
        <v>8</v>
      </c>
      <c r="K348" s="45" t="s">
        <v>311</v>
      </c>
      <c r="L348" s="45" t="s">
        <v>40</v>
      </c>
      <c r="M348" s="49" t="s">
        <v>35</v>
      </c>
      <c r="N348" s="49" t="s">
        <v>512</v>
      </c>
      <c r="O348" s="49"/>
      <c r="P348" s="45" t="s">
        <v>34</v>
      </c>
      <c r="Q348" s="49" t="s">
        <v>35</v>
      </c>
      <c r="R348" s="49">
        <v>4</v>
      </c>
      <c r="S348" s="50">
        <f t="shared" si="168"/>
        <v>50</v>
      </c>
      <c r="T348" s="49">
        <v>2</v>
      </c>
      <c r="U348" s="50">
        <f t="shared" si="169"/>
        <v>25</v>
      </c>
      <c r="V348" s="49" t="s">
        <v>172</v>
      </c>
      <c r="W348" s="49">
        <v>2</v>
      </c>
      <c r="X348" s="50">
        <f t="shared" si="170"/>
        <v>25</v>
      </c>
      <c r="Y348" s="51" t="str">
        <f t="shared" si="171"/>
        <v>Yes</v>
      </c>
      <c r="Z348" s="49" t="s">
        <v>35</v>
      </c>
      <c r="AA348" s="49" t="s">
        <v>23</v>
      </c>
      <c r="AB348" s="49" t="s">
        <v>23</v>
      </c>
      <c r="AC348" s="47" t="s">
        <v>26</v>
      </c>
      <c r="AD348" s="46" t="s">
        <v>315</v>
      </c>
      <c r="AE348" s="46" t="s">
        <v>228</v>
      </c>
      <c r="AF348" s="46" t="s">
        <v>35</v>
      </c>
      <c r="AG348" s="103"/>
      <c r="AH348" s="52">
        <v>7490</v>
      </c>
      <c r="AI348" s="52">
        <v>8958</v>
      </c>
      <c r="AJ348" s="108">
        <v>44.61</v>
      </c>
      <c r="AK348" s="104">
        <v>89.22</v>
      </c>
      <c r="AL348" s="108">
        <v>62.55</v>
      </c>
      <c r="AM348" s="108"/>
      <c r="AN348" s="53">
        <f t="shared" si="172"/>
        <v>125.1</v>
      </c>
      <c r="AO348" s="53">
        <v>26.68</v>
      </c>
      <c r="AP348" s="108"/>
      <c r="AQ348" s="108"/>
      <c r="AR348" s="108"/>
      <c r="AS348" s="108"/>
      <c r="AT348" s="108"/>
      <c r="AU348" s="108"/>
      <c r="AV348" s="102"/>
      <c r="AW348" s="102"/>
      <c r="AX348" s="108"/>
      <c r="AY348" s="108"/>
      <c r="AZ348" s="108"/>
      <c r="BA348" s="108"/>
      <c r="BB348" s="108"/>
      <c r="BC348" s="108"/>
      <c r="BD348" s="108"/>
      <c r="BE348" s="108"/>
      <c r="BF348" s="108"/>
      <c r="BG348" s="108"/>
      <c r="BH348" s="108"/>
      <c r="BI348" s="108"/>
      <c r="BJ348" s="102"/>
      <c r="BK348" s="102"/>
      <c r="BL348" s="102"/>
      <c r="BM348" s="102"/>
      <c r="BN348" s="108"/>
      <c r="BO348" s="108"/>
      <c r="BP348" s="108"/>
      <c r="BQ348" s="108"/>
      <c r="BR348" s="102"/>
      <c r="BS348" s="54" t="s">
        <v>29</v>
      </c>
      <c r="BT348" s="45" t="str">
        <f t="shared" si="178"/>
        <v>Yes</v>
      </c>
      <c r="BU348" s="45" t="str">
        <f t="shared" si="179"/>
        <v>No</v>
      </c>
      <c r="BV348" s="45" t="str">
        <f t="shared" si="180"/>
        <v>No</v>
      </c>
      <c r="BW348" s="55">
        <v>63.96501437186496</v>
      </c>
      <c r="BX348" s="55"/>
      <c r="BY348" s="55">
        <v>65.195014371864957</v>
      </c>
      <c r="BZ348" s="55"/>
      <c r="CA348" s="45">
        <v>2004</v>
      </c>
      <c r="CB348" s="55">
        <f t="shared" si="177"/>
        <v>20.350996762651221</v>
      </c>
      <c r="CC348" s="46" t="s">
        <v>281</v>
      </c>
      <c r="CD348" s="46" t="s">
        <v>151</v>
      </c>
      <c r="CE348" s="46" t="s">
        <v>783</v>
      </c>
      <c r="CF348" s="46">
        <v>2</v>
      </c>
      <c r="CG348" s="46" t="str">
        <f t="shared" si="174"/>
        <v>Yes</v>
      </c>
      <c r="CH348" s="46" t="s">
        <v>35</v>
      </c>
      <c r="CI348" s="56">
        <v>25</v>
      </c>
      <c r="CJ348" s="46">
        <v>50</v>
      </c>
      <c r="CK348" s="46" t="s">
        <v>23</v>
      </c>
      <c r="CL348" s="49" t="s">
        <v>29</v>
      </c>
      <c r="CM348" s="50">
        <v>0</v>
      </c>
      <c r="CN348" s="50"/>
      <c r="CO348" s="50"/>
      <c r="CP348" s="46" t="s">
        <v>23</v>
      </c>
      <c r="CQ348" s="46" t="s">
        <v>24</v>
      </c>
      <c r="CR348" s="46">
        <v>11</v>
      </c>
      <c r="CS348" s="46" t="s">
        <v>854</v>
      </c>
      <c r="CT348" s="46" t="s">
        <v>856</v>
      </c>
      <c r="CU348" s="46" t="s">
        <v>29</v>
      </c>
      <c r="CV348" s="46" t="s">
        <v>23</v>
      </c>
      <c r="CW348" s="46" t="s">
        <v>23</v>
      </c>
      <c r="CX348" s="49" t="s">
        <v>564</v>
      </c>
      <c r="CY348" s="49" t="s">
        <v>295</v>
      </c>
      <c r="CZ348" s="49">
        <v>0</v>
      </c>
      <c r="DA348" s="49">
        <v>0</v>
      </c>
      <c r="DB348" s="64">
        <v>44017.5</v>
      </c>
      <c r="DC348" s="58">
        <v>15.9</v>
      </c>
      <c r="DD348" s="58">
        <v>5.21</v>
      </c>
      <c r="DE348" s="58">
        <v>33.339999999999996</v>
      </c>
      <c r="DF348" s="58">
        <v>42.6</v>
      </c>
      <c r="DG348" s="58">
        <v>2.9079343442948828</v>
      </c>
      <c r="DH348" s="58">
        <v>84.1</v>
      </c>
      <c r="DI348" s="45" t="s">
        <v>35</v>
      </c>
      <c r="DJ348" s="59" t="str">
        <f t="shared" si="175"/>
        <v>No single majority group</v>
      </c>
      <c r="DK348" s="65">
        <v>44017.5</v>
      </c>
      <c r="DL348" s="58">
        <v>15.9</v>
      </c>
      <c r="DM348" s="58">
        <v>5.21</v>
      </c>
      <c r="DN348" s="58">
        <v>33.339999999999996</v>
      </c>
      <c r="DO348" s="58">
        <v>84.1</v>
      </c>
      <c r="DP348" s="66">
        <v>47.5</v>
      </c>
      <c r="DQ348" s="67">
        <v>86799.26</v>
      </c>
      <c r="DR348" s="53">
        <v>10.199999999999999</v>
      </c>
      <c r="DS348" s="58">
        <v>70.2</v>
      </c>
      <c r="DT348" s="53">
        <v>60</v>
      </c>
      <c r="DU348" s="55">
        <v>3.09</v>
      </c>
      <c r="DV348" s="102">
        <v>34.5</v>
      </c>
      <c r="DW348" s="53">
        <v>82.1</v>
      </c>
      <c r="DX348" s="53">
        <v>81.489999999999995</v>
      </c>
      <c r="DY348" s="53">
        <v>51.1023</v>
      </c>
      <c r="DZ348" s="63"/>
    </row>
    <row r="349" spans="1:130" s="5" customFormat="1" ht="14.25" hidden="1" customHeight="1">
      <c r="A349" s="45">
        <v>1312</v>
      </c>
      <c r="B349" s="46" t="s">
        <v>292</v>
      </c>
      <c r="C349" s="47">
        <v>2006</v>
      </c>
      <c r="D349" s="47" t="s">
        <v>76</v>
      </c>
      <c r="E349" s="46" t="s">
        <v>77</v>
      </c>
      <c r="F349" s="46">
        <v>4</v>
      </c>
      <c r="G349" s="48">
        <v>85000</v>
      </c>
      <c r="H349" s="46" t="s">
        <v>249</v>
      </c>
      <c r="I349" s="46">
        <v>1</v>
      </c>
      <c r="J349" s="47">
        <v>3</v>
      </c>
      <c r="K349" s="45" t="s">
        <v>309</v>
      </c>
      <c r="L349" s="45" t="s">
        <v>30</v>
      </c>
      <c r="M349" s="49" t="s">
        <v>29</v>
      </c>
      <c r="N349" s="49" t="s">
        <v>512</v>
      </c>
      <c r="O349" s="49"/>
      <c r="P349" s="45" t="s">
        <v>31</v>
      </c>
      <c r="Q349" s="49" t="s">
        <v>29</v>
      </c>
      <c r="R349" s="49">
        <v>0</v>
      </c>
      <c r="S349" s="50">
        <f t="shared" si="168"/>
        <v>0</v>
      </c>
      <c r="T349" s="49">
        <v>0</v>
      </c>
      <c r="U349" s="50">
        <f t="shared" si="169"/>
        <v>0</v>
      </c>
      <c r="V349" s="45"/>
      <c r="W349" s="49">
        <v>0</v>
      </c>
      <c r="X349" s="50">
        <f t="shared" si="170"/>
        <v>0</v>
      </c>
      <c r="Y349" s="51" t="str">
        <f t="shared" si="171"/>
        <v>No</v>
      </c>
      <c r="Z349" s="49" t="s">
        <v>35</v>
      </c>
      <c r="AA349" s="49" t="s">
        <v>23</v>
      </c>
      <c r="AB349" s="49" t="s">
        <v>23</v>
      </c>
      <c r="AC349" s="47" t="s">
        <v>151</v>
      </c>
      <c r="AD349" s="46" t="s">
        <v>152</v>
      </c>
      <c r="AE349" s="46" t="s">
        <v>73</v>
      </c>
      <c r="AF349" s="46" t="s">
        <v>29</v>
      </c>
      <c r="AG349" s="103"/>
      <c r="AH349" s="52">
        <v>10948</v>
      </c>
      <c r="AI349" s="52">
        <v>10948</v>
      </c>
      <c r="AJ349" s="108">
        <v>64.540000000000006</v>
      </c>
      <c r="AK349" s="104">
        <v>129.08000000000001</v>
      </c>
      <c r="AL349" s="108">
        <v>64.540000000000006</v>
      </c>
      <c r="AM349" s="108"/>
      <c r="AN349" s="53">
        <f t="shared" si="172"/>
        <v>129.08000000000001</v>
      </c>
      <c r="AO349" s="53">
        <v>30.36</v>
      </c>
      <c r="AP349" s="108"/>
      <c r="AQ349" s="108"/>
      <c r="AR349" s="108"/>
      <c r="AS349" s="108"/>
      <c r="AT349" s="108"/>
      <c r="AU349" s="108"/>
      <c r="AV349" s="108"/>
      <c r="AW349" s="108"/>
      <c r="AX349" s="108"/>
      <c r="AY349" s="108"/>
      <c r="AZ349" s="108"/>
      <c r="BA349" s="108"/>
      <c r="BB349" s="108"/>
      <c r="BC349" s="108"/>
      <c r="BD349" s="108"/>
      <c r="BE349" s="108"/>
      <c r="BF349" s="108"/>
      <c r="BG349" s="108"/>
      <c r="BH349" s="108"/>
      <c r="BI349" s="108"/>
      <c r="BJ349" s="108"/>
      <c r="BK349" s="108"/>
      <c r="BL349" s="108"/>
      <c r="BM349" s="108"/>
      <c r="BN349" s="108"/>
      <c r="BO349" s="108"/>
      <c r="BP349" s="108"/>
      <c r="BQ349" s="108"/>
      <c r="BR349" s="108"/>
      <c r="BS349" s="54" t="s">
        <v>29</v>
      </c>
      <c r="BT349" s="45" t="str">
        <f t="shared" si="178"/>
        <v>No</v>
      </c>
      <c r="BU349" s="45" t="str">
        <f t="shared" si="179"/>
        <v>No</v>
      </c>
      <c r="BV349" s="45" t="str">
        <f t="shared" si="180"/>
        <v>No</v>
      </c>
      <c r="BW349" s="55">
        <v>63.96501437186496</v>
      </c>
      <c r="BX349" s="55"/>
      <c r="BY349" s="55">
        <v>65.195014371864957</v>
      </c>
      <c r="BZ349" s="55"/>
      <c r="CA349" s="45">
        <v>2004</v>
      </c>
      <c r="CB349" s="55">
        <f t="shared" si="177"/>
        <v>22.062794728144773</v>
      </c>
      <c r="CC349" s="46" t="s">
        <v>281</v>
      </c>
      <c r="CD349" s="46" t="s">
        <v>151</v>
      </c>
      <c r="CE349" s="46" t="s">
        <v>783</v>
      </c>
      <c r="CF349" s="46">
        <v>2</v>
      </c>
      <c r="CG349" s="46" t="str">
        <f t="shared" si="174"/>
        <v>Yes</v>
      </c>
      <c r="CH349" s="46" t="s">
        <v>35</v>
      </c>
      <c r="CI349" s="56">
        <v>25</v>
      </c>
      <c r="CJ349" s="46">
        <v>50</v>
      </c>
      <c r="CK349" s="46" t="s">
        <v>23</v>
      </c>
      <c r="CL349" s="49" t="s">
        <v>29</v>
      </c>
      <c r="CM349" s="50">
        <v>0</v>
      </c>
      <c r="CN349" s="50"/>
      <c r="CO349" s="50"/>
      <c r="CP349" s="46" t="s">
        <v>23</v>
      </c>
      <c r="CQ349" s="46" t="s">
        <v>24</v>
      </c>
      <c r="CR349" s="46">
        <v>11</v>
      </c>
      <c r="CS349" s="46" t="s">
        <v>854</v>
      </c>
      <c r="CT349" s="46" t="s">
        <v>856</v>
      </c>
      <c r="CU349" s="46" t="s">
        <v>29</v>
      </c>
      <c r="CV349" s="46" t="s">
        <v>23</v>
      </c>
      <c r="CW349" s="46" t="s">
        <v>23</v>
      </c>
      <c r="CX349" s="49" t="s">
        <v>564</v>
      </c>
      <c r="CY349" s="49" t="s">
        <v>295</v>
      </c>
      <c r="CZ349" s="49">
        <v>0</v>
      </c>
      <c r="DA349" s="49">
        <v>0</v>
      </c>
      <c r="DB349" s="64">
        <v>49622</v>
      </c>
      <c r="DC349" s="58">
        <v>55.769999999999996</v>
      </c>
      <c r="DD349" s="58">
        <v>2.96</v>
      </c>
      <c r="DE349" s="58">
        <v>10.56</v>
      </c>
      <c r="DF349" s="58">
        <v>28.349999999999998</v>
      </c>
      <c r="DG349" s="58">
        <v>2.4182822135343196</v>
      </c>
      <c r="DH349" s="58">
        <v>44.230000000000004</v>
      </c>
      <c r="DI349" s="45" t="s">
        <v>29</v>
      </c>
      <c r="DJ349" s="59" t="str">
        <f t="shared" si="175"/>
        <v>N/A</v>
      </c>
      <c r="DK349" s="65">
        <v>49622</v>
      </c>
      <c r="DL349" s="58">
        <v>55.769999999999996</v>
      </c>
      <c r="DM349" s="58">
        <v>2.96</v>
      </c>
      <c r="DN349" s="58">
        <v>10.56</v>
      </c>
      <c r="DO349" s="58">
        <v>44.230000000000004</v>
      </c>
      <c r="DP349" s="66">
        <v>47.5</v>
      </c>
      <c r="DQ349" s="67">
        <v>86799.26</v>
      </c>
      <c r="DR349" s="53">
        <v>10.199999999999999</v>
      </c>
      <c r="DS349" s="58">
        <v>70.2</v>
      </c>
      <c r="DT349" s="53">
        <v>60</v>
      </c>
      <c r="DU349" s="55">
        <v>3.09</v>
      </c>
      <c r="DV349" s="102">
        <v>34.5</v>
      </c>
      <c r="DW349" s="53">
        <v>82.1</v>
      </c>
      <c r="DX349" s="53">
        <v>81.489999999999995</v>
      </c>
      <c r="DY349" s="53">
        <v>51.1023</v>
      </c>
      <c r="DZ349" s="63"/>
    </row>
    <row r="350" spans="1:130" s="5" customFormat="1" ht="14.25" hidden="1" customHeight="1">
      <c r="A350" s="45">
        <v>1313</v>
      </c>
      <c r="B350" s="46" t="s">
        <v>292</v>
      </c>
      <c r="C350" s="47">
        <v>2006</v>
      </c>
      <c r="D350" s="47" t="s">
        <v>94</v>
      </c>
      <c r="E350" s="46" t="s">
        <v>95</v>
      </c>
      <c r="F350" s="46">
        <v>4</v>
      </c>
      <c r="G350" s="48">
        <v>85000</v>
      </c>
      <c r="H350" s="46" t="s">
        <v>249</v>
      </c>
      <c r="I350" s="46">
        <v>1</v>
      </c>
      <c r="J350" s="47">
        <v>8</v>
      </c>
      <c r="K350" s="45" t="s">
        <v>293</v>
      </c>
      <c r="L350" s="45" t="s">
        <v>30</v>
      </c>
      <c r="M350" s="49" t="s">
        <v>29</v>
      </c>
      <c r="N350" s="49" t="s">
        <v>512</v>
      </c>
      <c r="O350" s="49"/>
      <c r="P350" s="45" t="s">
        <v>31</v>
      </c>
      <c r="Q350" s="49" t="s">
        <v>29</v>
      </c>
      <c r="R350" s="49">
        <v>1</v>
      </c>
      <c r="S350" s="50">
        <f t="shared" si="168"/>
        <v>12.5</v>
      </c>
      <c r="T350" s="49">
        <v>3</v>
      </c>
      <c r="U350" s="50">
        <f t="shared" si="169"/>
        <v>37.5</v>
      </c>
      <c r="V350" s="49" t="s">
        <v>865</v>
      </c>
      <c r="W350" s="49">
        <v>0</v>
      </c>
      <c r="X350" s="50">
        <f t="shared" si="170"/>
        <v>0</v>
      </c>
      <c r="Y350" s="51" t="str">
        <f t="shared" si="171"/>
        <v>No</v>
      </c>
      <c r="Z350" s="49" t="s">
        <v>35</v>
      </c>
      <c r="AA350" s="49" t="s">
        <v>23</v>
      </c>
      <c r="AB350" s="49" t="s">
        <v>23</v>
      </c>
      <c r="AC350" s="47" t="s">
        <v>26</v>
      </c>
      <c r="AD350" s="46" t="s">
        <v>27</v>
      </c>
      <c r="AE350" s="46" t="s">
        <v>73</v>
      </c>
      <c r="AF350" s="46" t="s">
        <v>29</v>
      </c>
      <c r="AG350" s="103">
        <v>13854</v>
      </c>
      <c r="AH350" s="52">
        <v>8409</v>
      </c>
      <c r="AI350" s="52">
        <v>12860</v>
      </c>
      <c r="AJ350" s="108">
        <v>43</v>
      </c>
      <c r="AK350" s="104">
        <v>86</v>
      </c>
      <c r="AL350" s="108">
        <v>61.3</v>
      </c>
      <c r="AM350" s="108"/>
      <c r="AN350" s="53">
        <f t="shared" si="172"/>
        <v>122.6</v>
      </c>
      <c r="AO350" s="53">
        <v>35.94</v>
      </c>
      <c r="AP350" s="108">
        <v>994</v>
      </c>
      <c r="AQ350" s="108">
        <v>7.1748231557672879</v>
      </c>
      <c r="AR350" s="108"/>
      <c r="AS350" s="108"/>
      <c r="AT350" s="108"/>
      <c r="AU350" s="108"/>
      <c r="AV350" s="108"/>
      <c r="AW350" s="108"/>
      <c r="AX350" s="108"/>
      <c r="AY350" s="108"/>
      <c r="AZ350" s="108"/>
      <c r="BA350" s="108"/>
      <c r="BB350" s="108"/>
      <c r="BC350" s="108"/>
      <c r="BD350" s="108"/>
      <c r="BE350" s="108"/>
      <c r="BF350" s="108"/>
      <c r="BG350" s="108"/>
      <c r="BH350" s="108"/>
      <c r="BI350" s="108"/>
      <c r="BJ350" s="108"/>
      <c r="BK350" s="108"/>
      <c r="BL350" s="108"/>
      <c r="BM350" s="108"/>
      <c r="BN350" s="108"/>
      <c r="BO350" s="108"/>
      <c r="BP350" s="108"/>
      <c r="BQ350" s="108"/>
      <c r="BR350" s="108"/>
      <c r="BS350" s="54" t="s">
        <v>29</v>
      </c>
      <c r="BT350" s="45" t="str">
        <f t="shared" si="178"/>
        <v>Yes</v>
      </c>
      <c r="BU350" s="45" t="str">
        <f t="shared" si="179"/>
        <v>Yes</v>
      </c>
      <c r="BV350" s="45" t="str">
        <f t="shared" si="180"/>
        <v>No</v>
      </c>
      <c r="BW350" s="55">
        <v>63.96501437186496</v>
      </c>
      <c r="BX350" s="55"/>
      <c r="BY350" s="55">
        <v>65.195014371864957</v>
      </c>
      <c r="BZ350" s="55"/>
      <c r="CA350" s="45">
        <v>2004</v>
      </c>
      <c r="CB350" s="55">
        <f t="shared" si="177"/>
        <v>27.362284303921356</v>
      </c>
      <c r="CC350" s="46" t="s">
        <v>281</v>
      </c>
      <c r="CD350" s="46" t="s">
        <v>151</v>
      </c>
      <c r="CE350" s="46" t="s">
        <v>783</v>
      </c>
      <c r="CF350" s="46">
        <v>2</v>
      </c>
      <c r="CG350" s="46" t="str">
        <f t="shared" si="174"/>
        <v>Yes</v>
      </c>
      <c r="CH350" s="46" t="s">
        <v>35</v>
      </c>
      <c r="CI350" s="56">
        <v>25</v>
      </c>
      <c r="CJ350" s="46">
        <v>50</v>
      </c>
      <c r="CK350" s="46" t="s">
        <v>23</v>
      </c>
      <c r="CL350" s="49" t="s">
        <v>29</v>
      </c>
      <c r="CM350" s="50">
        <v>0</v>
      </c>
      <c r="CN350" s="50"/>
      <c r="CO350" s="50"/>
      <c r="CP350" s="46" t="s">
        <v>23</v>
      </c>
      <c r="CQ350" s="46" t="s">
        <v>24</v>
      </c>
      <c r="CR350" s="46">
        <v>11</v>
      </c>
      <c r="CS350" s="46" t="s">
        <v>854</v>
      </c>
      <c r="CT350" s="46" t="s">
        <v>856</v>
      </c>
      <c r="CU350" s="46" t="s">
        <v>29</v>
      </c>
      <c r="CV350" s="46" t="s">
        <v>23</v>
      </c>
      <c r="CW350" s="46" t="s">
        <v>23</v>
      </c>
      <c r="CX350" s="49" t="s">
        <v>564</v>
      </c>
      <c r="CY350" s="49" t="s">
        <v>295</v>
      </c>
      <c r="CZ350" s="49">
        <v>0</v>
      </c>
      <c r="DA350" s="49">
        <v>0</v>
      </c>
      <c r="DB350" s="64">
        <v>46999</v>
      </c>
      <c r="DC350" s="58">
        <v>36.1</v>
      </c>
      <c r="DD350" s="58">
        <v>4.55</v>
      </c>
      <c r="DE350" s="58">
        <v>37.22</v>
      </c>
      <c r="DF350" s="58">
        <v>19.189999999999998</v>
      </c>
      <c r="DG350" s="58">
        <v>3.0234685844379667</v>
      </c>
      <c r="DH350" s="58">
        <v>63.9</v>
      </c>
      <c r="DI350" s="45" t="s">
        <v>35</v>
      </c>
      <c r="DJ350" s="59" t="str">
        <f t="shared" si="175"/>
        <v>No single majority group</v>
      </c>
      <c r="DK350" s="65">
        <v>46999</v>
      </c>
      <c r="DL350" s="58">
        <v>36.1</v>
      </c>
      <c r="DM350" s="58">
        <v>4.55</v>
      </c>
      <c r="DN350" s="58">
        <v>37.22</v>
      </c>
      <c r="DO350" s="58">
        <v>63.9</v>
      </c>
      <c r="DP350" s="66">
        <v>47.5</v>
      </c>
      <c r="DQ350" s="67">
        <v>86799.26</v>
      </c>
      <c r="DR350" s="53">
        <v>10.199999999999999</v>
      </c>
      <c r="DS350" s="58">
        <v>70.2</v>
      </c>
      <c r="DT350" s="53">
        <v>60</v>
      </c>
      <c r="DU350" s="55">
        <v>3.09</v>
      </c>
      <c r="DV350" s="102">
        <v>34.5</v>
      </c>
      <c r="DW350" s="53">
        <v>82.1</v>
      </c>
      <c r="DX350" s="53">
        <v>81.489999999999995</v>
      </c>
      <c r="DY350" s="53">
        <v>51.1023</v>
      </c>
      <c r="DZ350" s="63"/>
    </row>
    <row r="351" spans="1:130" s="5" customFormat="1" ht="14.25" hidden="1" customHeight="1">
      <c r="A351" s="45">
        <v>1314</v>
      </c>
      <c r="B351" s="46" t="s">
        <v>292</v>
      </c>
      <c r="C351" s="47">
        <v>2006</v>
      </c>
      <c r="D351" s="47" t="s">
        <v>97</v>
      </c>
      <c r="E351" s="46" t="s">
        <v>98</v>
      </c>
      <c r="F351" s="46">
        <v>4</v>
      </c>
      <c r="G351" s="48">
        <v>85000</v>
      </c>
      <c r="H351" s="46" t="s">
        <v>249</v>
      </c>
      <c r="I351" s="46">
        <v>1</v>
      </c>
      <c r="J351" s="47">
        <v>1</v>
      </c>
      <c r="K351" s="45" t="s">
        <v>313</v>
      </c>
      <c r="L351" s="45" t="s">
        <v>40</v>
      </c>
      <c r="M351" s="49" t="s">
        <v>35</v>
      </c>
      <c r="N351" s="49" t="s">
        <v>513</v>
      </c>
      <c r="O351" s="49"/>
      <c r="P351" s="45" t="s">
        <v>857</v>
      </c>
      <c r="Q351" s="49" t="s">
        <v>35</v>
      </c>
      <c r="R351" s="49">
        <v>1</v>
      </c>
      <c r="S351" s="50">
        <f t="shared" si="168"/>
        <v>100</v>
      </c>
      <c r="T351" s="49">
        <v>1</v>
      </c>
      <c r="U351" s="50">
        <f t="shared" si="169"/>
        <v>100</v>
      </c>
      <c r="V351" s="49" t="s">
        <v>789</v>
      </c>
      <c r="W351" s="49">
        <v>1</v>
      </c>
      <c r="X351" s="50">
        <f t="shared" si="170"/>
        <v>100</v>
      </c>
      <c r="Y351" s="51" t="str">
        <f t="shared" si="171"/>
        <v>Yes</v>
      </c>
      <c r="Z351" s="49" t="s">
        <v>29</v>
      </c>
      <c r="AA351" s="49" t="s">
        <v>35</v>
      </c>
      <c r="AB351" s="45" t="s">
        <v>35</v>
      </c>
      <c r="AC351" s="47" t="s">
        <v>151</v>
      </c>
      <c r="AD351" s="46" t="s">
        <v>152</v>
      </c>
      <c r="AE351" s="46" t="s">
        <v>73</v>
      </c>
      <c r="AF351" s="46" t="s">
        <v>29</v>
      </c>
      <c r="AG351" s="103"/>
      <c r="AH351" s="52">
        <v>6056</v>
      </c>
      <c r="AI351" s="52">
        <v>6056</v>
      </c>
      <c r="AJ351" s="108">
        <v>100</v>
      </c>
      <c r="AK351" s="104">
        <v>200</v>
      </c>
      <c r="AL351" s="108">
        <v>100</v>
      </c>
      <c r="AM351" s="108"/>
      <c r="AN351" s="53">
        <f t="shared" si="172"/>
        <v>200</v>
      </c>
      <c r="AO351" s="53" t="s">
        <v>23</v>
      </c>
      <c r="AP351" s="108"/>
      <c r="AQ351" s="108"/>
      <c r="AR351" s="108"/>
      <c r="AS351" s="108"/>
      <c r="AT351" s="108"/>
      <c r="AU351" s="108"/>
      <c r="AV351" s="108"/>
      <c r="AW351" s="108"/>
      <c r="AX351" s="108"/>
      <c r="AY351" s="108"/>
      <c r="AZ351" s="108"/>
      <c r="BA351" s="108"/>
      <c r="BB351" s="108"/>
      <c r="BC351" s="108"/>
      <c r="BD351" s="108"/>
      <c r="BE351" s="108"/>
      <c r="BF351" s="108"/>
      <c r="BG351" s="108"/>
      <c r="BH351" s="108"/>
      <c r="BI351" s="108"/>
      <c r="BJ351" s="108"/>
      <c r="BK351" s="108"/>
      <c r="BL351" s="108"/>
      <c r="BM351" s="108"/>
      <c r="BN351" s="108"/>
      <c r="BO351" s="108"/>
      <c r="BP351" s="108"/>
      <c r="BQ351" s="108"/>
      <c r="BR351" s="108"/>
      <c r="BS351" s="54" t="s">
        <v>23</v>
      </c>
      <c r="BT351" s="45" t="str">
        <f t="shared" si="178"/>
        <v>No</v>
      </c>
      <c r="BU351" s="45" t="str">
        <f t="shared" si="179"/>
        <v>No</v>
      </c>
      <c r="BV351" s="45" t="str">
        <f t="shared" si="180"/>
        <v>No</v>
      </c>
      <c r="BW351" s="55">
        <v>63.96501437186496</v>
      </c>
      <c r="BX351" s="55"/>
      <c r="BY351" s="55">
        <v>65.195014371864957</v>
      </c>
      <c r="BZ351" s="55"/>
      <c r="CA351" s="45">
        <v>2004</v>
      </c>
      <c r="CB351" s="55">
        <f t="shared" si="177"/>
        <v>11.880566563346019</v>
      </c>
      <c r="CC351" s="46" t="s">
        <v>281</v>
      </c>
      <c r="CD351" s="46" t="s">
        <v>151</v>
      </c>
      <c r="CE351" s="46" t="s">
        <v>783</v>
      </c>
      <c r="CF351" s="46">
        <v>2</v>
      </c>
      <c r="CG351" s="46" t="str">
        <f t="shared" si="174"/>
        <v>Yes</v>
      </c>
      <c r="CH351" s="46" t="s">
        <v>35</v>
      </c>
      <c r="CI351" s="56">
        <v>25</v>
      </c>
      <c r="CJ351" s="46">
        <v>50</v>
      </c>
      <c r="CK351" s="46" t="s">
        <v>23</v>
      </c>
      <c r="CL351" s="49" t="s">
        <v>29</v>
      </c>
      <c r="CM351" s="50">
        <v>0</v>
      </c>
      <c r="CN351" s="50"/>
      <c r="CO351" s="50"/>
      <c r="CP351" s="46" t="s">
        <v>23</v>
      </c>
      <c r="CQ351" s="46" t="s">
        <v>24</v>
      </c>
      <c r="CR351" s="46">
        <v>11</v>
      </c>
      <c r="CS351" s="46" t="s">
        <v>854</v>
      </c>
      <c r="CT351" s="46" t="s">
        <v>856</v>
      </c>
      <c r="CU351" s="46" t="s">
        <v>29</v>
      </c>
      <c r="CV351" s="46" t="s">
        <v>23</v>
      </c>
      <c r="CW351" s="46" t="s">
        <v>23</v>
      </c>
      <c r="CX351" s="49" t="s">
        <v>564</v>
      </c>
      <c r="CY351" s="49" t="s">
        <v>295</v>
      </c>
      <c r="CZ351" s="49">
        <v>0</v>
      </c>
      <c r="DA351" s="49">
        <v>0</v>
      </c>
      <c r="DB351" s="64">
        <v>50974</v>
      </c>
      <c r="DC351" s="58">
        <v>20.22</v>
      </c>
      <c r="DD351" s="58">
        <v>4.1500000000000004</v>
      </c>
      <c r="DE351" s="58">
        <v>45.79</v>
      </c>
      <c r="DF351" s="58">
        <v>27.810000000000002</v>
      </c>
      <c r="DG351" s="58">
        <v>1.9912112057127163</v>
      </c>
      <c r="DH351" s="58">
        <v>79.78</v>
      </c>
      <c r="DI351" s="45" t="s">
        <v>35</v>
      </c>
      <c r="DJ351" s="59" t="str">
        <f t="shared" si="175"/>
        <v>No single majority group</v>
      </c>
      <c r="DK351" s="65">
        <v>50974</v>
      </c>
      <c r="DL351" s="58">
        <v>20.22</v>
      </c>
      <c r="DM351" s="58">
        <v>4.1500000000000004</v>
      </c>
      <c r="DN351" s="58">
        <v>45.79</v>
      </c>
      <c r="DO351" s="58">
        <v>79.78</v>
      </c>
      <c r="DP351" s="66">
        <v>47.5</v>
      </c>
      <c r="DQ351" s="67">
        <v>86799.26</v>
      </c>
      <c r="DR351" s="53">
        <v>10.199999999999999</v>
      </c>
      <c r="DS351" s="58">
        <v>70.2</v>
      </c>
      <c r="DT351" s="53">
        <v>60</v>
      </c>
      <c r="DU351" s="55">
        <v>3.09</v>
      </c>
      <c r="DV351" s="102">
        <v>34.5</v>
      </c>
      <c r="DW351" s="53">
        <v>82.1</v>
      </c>
      <c r="DX351" s="53">
        <v>81.489999999999995</v>
      </c>
      <c r="DY351" s="53">
        <v>51.1023</v>
      </c>
      <c r="DZ351" s="63"/>
    </row>
    <row r="352" spans="1:130" s="5" customFormat="1" ht="14.25" hidden="1" customHeight="1">
      <c r="A352" s="45">
        <v>1315</v>
      </c>
      <c r="B352" s="46" t="s">
        <v>292</v>
      </c>
      <c r="C352" s="47">
        <v>2006</v>
      </c>
      <c r="D352" s="47" t="s">
        <v>100</v>
      </c>
      <c r="E352" s="71" t="s">
        <v>101</v>
      </c>
      <c r="F352" s="46">
        <v>1</v>
      </c>
      <c r="G352" s="48">
        <v>85000</v>
      </c>
      <c r="H352" s="46" t="s">
        <v>249</v>
      </c>
      <c r="I352" s="46">
        <v>1</v>
      </c>
      <c r="J352" s="47">
        <v>6</v>
      </c>
      <c r="K352" s="45" t="s">
        <v>304</v>
      </c>
      <c r="L352" s="45" t="s">
        <v>30</v>
      </c>
      <c r="M352" s="49" t="s">
        <v>29</v>
      </c>
      <c r="N352" s="49" t="s">
        <v>512</v>
      </c>
      <c r="O352" s="49"/>
      <c r="P352" s="45" t="s">
        <v>31</v>
      </c>
      <c r="Q352" s="49" t="s">
        <v>29</v>
      </c>
      <c r="R352" s="49">
        <v>0</v>
      </c>
      <c r="S352" s="50">
        <f t="shared" ref="S352:S383" si="181">(R352/J352)*100</f>
        <v>0</v>
      </c>
      <c r="T352" s="49">
        <v>1</v>
      </c>
      <c r="U352" s="50">
        <f t="shared" ref="U352:U383" si="182">(T352/J352)*100</f>
        <v>16.666666666666664</v>
      </c>
      <c r="V352" s="49" t="s">
        <v>173</v>
      </c>
      <c r="W352" s="49">
        <v>0</v>
      </c>
      <c r="X352" s="50">
        <f t="shared" ref="X352:X383" si="183">(W352/J352)*100</f>
        <v>0</v>
      </c>
      <c r="Y352" s="51" t="str">
        <f t="shared" ref="Y352:Y383" si="184">IF(L352="M","No", IF(P352="n/a","No",IF(P352="white","No","Yes")))</f>
        <v>No</v>
      </c>
      <c r="Z352" s="49" t="s">
        <v>35</v>
      </c>
      <c r="AA352" s="49" t="s">
        <v>23</v>
      </c>
      <c r="AB352" s="49" t="s">
        <v>23</v>
      </c>
      <c r="AC352" s="47" t="s">
        <v>267</v>
      </c>
      <c r="AD352" s="46" t="s">
        <v>168</v>
      </c>
      <c r="AE352" s="46" t="s">
        <v>228</v>
      </c>
      <c r="AF352" s="46" t="s">
        <v>35</v>
      </c>
      <c r="AG352" s="103">
        <v>26276</v>
      </c>
      <c r="AH352" s="52">
        <v>12062</v>
      </c>
      <c r="AI352" s="100">
        <v>22848</v>
      </c>
      <c r="AJ352" s="108">
        <v>30.57</v>
      </c>
      <c r="AK352" s="104">
        <v>61.14</v>
      </c>
      <c r="AL352" s="102">
        <v>58.2</v>
      </c>
      <c r="AM352" s="102"/>
      <c r="AN352" s="53">
        <f t="shared" ref="AN352:AN383" si="185">AL352/(1/(I352+1))</f>
        <v>116.4</v>
      </c>
      <c r="AO352" s="53">
        <v>21.61</v>
      </c>
      <c r="AP352" s="102">
        <v>3428</v>
      </c>
      <c r="AQ352" s="108">
        <v>13.046125742122088</v>
      </c>
      <c r="AR352" s="102"/>
      <c r="AS352" s="102"/>
      <c r="AT352" s="102"/>
      <c r="AU352" s="102"/>
      <c r="AV352" s="108"/>
      <c r="AW352" s="108"/>
      <c r="AX352" s="102"/>
      <c r="AY352" s="102"/>
      <c r="AZ352" s="102"/>
      <c r="BA352" s="102"/>
      <c r="BB352" s="102"/>
      <c r="BC352" s="102"/>
      <c r="BD352" s="102"/>
      <c r="BE352" s="102"/>
      <c r="BF352" s="102"/>
      <c r="BG352" s="102"/>
      <c r="BH352" s="102"/>
      <c r="BI352" s="102"/>
      <c r="BJ352" s="108"/>
      <c r="BK352" s="108"/>
      <c r="BL352" s="108"/>
      <c r="BM352" s="108"/>
      <c r="BN352" s="108">
        <v>30.57</v>
      </c>
      <c r="BO352" s="102" t="e">
        <f>AH352-#REF!</f>
        <v>#REF!</v>
      </c>
      <c r="BP352" s="102" t="e">
        <f>BO352/#REF! *100</f>
        <v>#REF!</v>
      </c>
      <c r="BQ352" s="102" t="e">
        <f>IF(AND((#REF!*(BN352/100))&gt;(AH352*(AL352/100)),  AJ352 &lt;&gt;  BN352), "yes", "no")</f>
        <v>#REF!</v>
      </c>
      <c r="BR352" s="108"/>
      <c r="BS352" s="54" t="s">
        <v>29</v>
      </c>
      <c r="BT352" s="45" t="str">
        <f t="shared" si="178"/>
        <v>Yes</v>
      </c>
      <c r="BU352" s="45" t="str">
        <f t="shared" si="179"/>
        <v>Yes</v>
      </c>
      <c r="BV352" s="45" t="str">
        <f t="shared" si="180"/>
        <v>No</v>
      </c>
      <c r="BW352" s="55">
        <v>63.96501437186496</v>
      </c>
      <c r="BX352" s="55"/>
      <c r="BY352" s="55">
        <v>65.195014371864957</v>
      </c>
      <c r="BZ352" s="55"/>
      <c r="CA352" s="45">
        <v>2004</v>
      </c>
      <c r="CB352" s="55">
        <f>((AH352/I352)/DB352)*100</f>
        <v>19.891817012434444</v>
      </c>
      <c r="CC352" s="46" t="s">
        <v>266</v>
      </c>
      <c r="CD352" s="46" t="s">
        <v>291</v>
      </c>
      <c r="CE352" s="46" t="s">
        <v>783</v>
      </c>
      <c r="CF352" s="46">
        <v>2</v>
      </c>
      <c r="CG352" s="46" t="str">
        <f t="shared" ref="CG352:CG383" si="186">IF(CD352="Primary (decisive)", "Yes", "No")</f>
        <v>No</v>
      </c>
      <c r="CH352" s="46" t="s">
        <v>35</v>
      </c>
      <c r="CI352" s="56">
        <v>25</v>
      </c>
      <c r="CJ352" s="46">
        <v>50</v>
      </c>
      <c r="CK352" s="46" t="s">
        <v>23</v>
      </c>
      <c r="CL352" s="49" t="s">
        <v>29</v>
      </c>
      <c r="CM352" s="50">
        <v>0</v>
      </c>
      <c r="CN352" s="50"/>
      <c r="CO352" s="50"/>
      <c r="CP352" s="46" t="s">
        <v>23</v>
      </c>
      <c r="CQ352" s="46" t="s">
        <v>24</v>
      </c>
      <c r="CR352" s="46">
        <v>11</v>
      </c>
      <c r="CS352" s="46" t="s">
        <v>854</v>
      </c>
      <c r="CT352" s="46" t="s">
        <v>856</v>
      </c>
      <c r="CU352" s="46" t="s">
        <v>29</v>
      </c>
      <c r="CV352" s="46" t="s">
        <v>23</v>
      </c>
      <c r="CW352" s="46" t="s">
        <v>23</v>
      </c>
      <c r="CX352" s="49" t="s">
        <v>564</v>
      </c>
      <c r="CY352" s="49" t="s">
        <v>295</v>
      </c>
      <c r="CZ352" s="49">
        <v>0</v>
      </c>
      <c r="DA352" s="49">
        <v>0</v>
      </c>
      <c r="DB352" s="64">
        <v>60638</v>
      </c>
      <c r="DC352" s="58">
        <v>62.470000000000006</v>
      </c>
      <c r="DD352" s="58">
        <v>3.63</v>
      </c>
      <c r="DE352" s="58">
        <v>19.52</v>
      </c>
      <c r="DF352" s="58">
        <v>12.07</v>
      </c>
      <c r="DG352" s="58">
        <v>2.3483624130083447</v>
      </c>
      <c r="DH352" s="58">
        <v>37.529999999999994</v>
      </c>
      <c r="DI352" s="45" t="s">
        <v>29</v>
      </c>
      <c r="DJ352" s="59" t="str">
        <f t="shared" si="175"/>
        <v>N/A</v>
      </c>
      <c r="DK352" s="65">
        <v>60638</v>
      </c>
      <c r="DL352" s="58">
        <v>62.470000000000006</v>
      </c>
      <c r="DM352" s="58">
        <v>3.63</v>
      </c>
      <c r="DN352" s="58">
        <v>19.52</v>
      </c>
      <c r="DO352" s="58">
        <v>37.529999999999994</v>
      </c>
      <c r="DP352" s="66">
        <v>47.5</v>
      </c>
      <c r="DQ352" s="67">
        <v>86799.26</v>
      </c>
      <c r="DR352" s="53">
        <v>10.199999999999999</v>
      </c>
      <c r="DS352" s="58">
        <v>70.2</v>
      </c>
      <c r="DT352" s="53">
        <v>60</v>
      </c>
      <c r="DU352" s="55">
        <v>3.09</v>
      </c>
      <c r="DV352" s="50">
        <v>34.5</v>
      </c>
      <c r="DW352" s="53">
        <v>82.1</v>
      </c>
      <c r="DX352" s="53">
        <v>81.489999999999995</v>
      </c>
      <c r="DY352" s="53">
        <v>51.1023</v>
      </c>
      <c r="DZ352" s="63"/>
    </row>
    <row r="353" spans="1:130" s="5" customFormat="1" ht="14.25" hidden="1" customHeight="1">
      <c r="A353" s="45">
        <v>1316</v>
      </c>
      <c r="B353" s="46" t="s">
        <v>292</v>
      </c>
      <c r="C353" s="47">
        <v>2006</v>
      </c>
      <c r="D353" s="47" t="s">
        <v>82</v>
      </c>
      <c r="E353" s="46" t="s">
        <v>83</v>
      </c>
      <c r="F353" s="46">
        <v>4</v>
      </c>
      <c r="G353" s="48">
        <v>85000</v>
      </c>
      <c r="H353" s="46" t="s">
        <v>249</v>
      </c>
      <c r="I353" s="46">
        <v>1</v>
      </c>
      <c r="J353" s="47">
        <v>1</v>
      </c>
      <c r="K353" s="45" t="s">
        <v>311</v>
      </c>
      <c r="L353" s="45" t="s">
        <v>40</v>
      </c>
      <c r="M353" s="49" t="s">
        <v>35</v>
      </c>
      <c r="N353" s="49" t="s">
        <v>513</v>
      </c>
      <c r="O353" s="49"/>
      <c r="P353" s="45" t="s">
        <v>34</v>
      </c>
      <c r="Q353" s="49" t="s">
        <v>35</v>
      </c>
      <c r="R353" s="49">
        <v>1</v>
      </c>
      <c r="S353" s="50">
        <f t="shared" si="181"/>
        <v>100</v>
      </c>
      <c r="T353" s="49">
        <v>1</v>
      </c>
      <c r="U353" s="50">
        <f t="shared" si="182"/>
        <v>100</v>
      </c>
      <c r="V353" s="49" t="s">
        <v>173</v>
      </c>
      <c r="W353" s="49">
        <v>1</v>
      </c>
      <c r="X353" s="50">
        <f t="shared" si="183"/>
        <v>100</v>
      </c>
      <c r="Y353" s="51" t="str">
        <f t="shared" si="184"/>
        <v>Yes</v>
      </c>
      <c r="Z353" s="49" t="s">
        <v>29</v>
      </c>
      <c r="AA353" s="49" t="s">
        <v>35</v>
      </c>
      <c r="AB353" s="45" t="s">
        <v>35</v>
      </c>
      <c r="AC353" s="47" t="s">
        <v>151</v>
      </c>
      <c r="AD353" s="46" t="s">
        <v>152</v>
      </c>
      <c r="AE353" s="46" t="s">
        <v>73</v>
      </c>
      <c r="AF353" s="46" t="s">
        <v>29</v>
      </c>
      <c r="AG353" s="103"/>
      <c r="AH353" s="52">
        <v>7179</v>
      </c>
      <c r="AI353" s="52">
        <v>7179</v>
      </c>
      <c r="AJ353" s="108">
        <v>100</v>
      </c>
      <c r="AK353" s="104">
        <v>200</v>
      </c>
      <c r="AL353" s="108">
        <v>100</v>
      </c>
      <c r="AM353" s="108"/>
      <c r="AN353" s="53">
        <f t="shared" si="185"/>
        <v>200</v>
      </c>
      <c r="AO353" s="53" t="s">
        <v>23</v>
      </c>
      <c r="AP353" s="108"/>
      <c r="AQ353" s="108"/>
      <c r="AR353" s="108"/>
      <c r="AS353" s="108"/>
      <c r="AT353" s="108"/>
      <c r="AU353" s="108"/>
      <c r="AV353" s="108"/>
      <c r="AW353" s="108"/>
      <c r="AX353" s="108"/>
      <c r="AY353" s="108"/>
      <c r="AZ353" s="108"/>
      <c r="BA353" s="108"/>
      <c r="BB353" s="108"/>
      <c r="BC353" s="108"/>
      <c r="BD353" s="108"/>
      <c r="BE353" s="108"/>
      <c r="BF353" s="108"/>
      <c r="BG353" s="108"/>
      <c r="BH353" s="108"/>
      <c r="BI353" s="108"/>
      <c r="BJ353" s="108"/>
      <c r="BK353" s="108"/>
      <c r="BL353" s="108"/>
      <c r="BM353" s="108"/>
      <c r="BN353" s="108"/>
      <c r="BO353" s="108"/>
      <c r="BP353" s="108"/>
      <c r="BQ353" s="108"/>
      <c r="BR353" s="108"/>
      <c r="BS353" s="54" t="s">
        <v>23</v>
      </c>
      <c r="BT353" s="45" t="str">
        <f t="shared" si="178"/>
        <v>No</v>
      </c>
      <c r="BU353" s="45" t="str">
        <f t="shared" si="179"/>
        <v>No</v>
      </c>
      <c r="BV353" s="45" t="str">
        <f t="shared" si="180"/>
        <v>No</v>
      </c>
      <c r="BW353" s="55">
        <v>63.96501437186496</v>
      </c>
      <c r="BX353" s="55"/>
      <c r="BY353" s="55">
        <v>65.195014371864957</v>
      </c>
      <c r="BZ353" s="55"/>
      <c r="CA353" s="45">
        <v>2004</v>
      </c>
      <c r="CB353" s="55">
        <f t="shared" ref="CB353:CB384" si="187">((AI353/I353)/DB353)*100</f>
        <v>16.309422388822629</v>
      </c>
      <c r="CC353" s="46" t="s">
        <v>281</v>
      </c>
      <c r="CD353" s="46" t="s">
        <v>151</v>
      </c>
      <c r="CE353" s="46" t="s">
        <v>783</v>
      </c>
      <c r="CF353" s="46">
        <v>2</v>
      </c>
      <c r="CG353" s="46" t="str">
        <f t="shared" si="186"/>
        <v>Yes</v>
      </c>
      <c r="CH353" s="46" t="s">
        <v>35</v>
      </c>
      <c r="CI353" s="56">
        <v>25</v>
      </c>
      <c r="CJ353" s="46">
        <v>50</v>
      </c>
      <c r="CK353" s="46" t="s">
        <v>23</v>
      </c>
      <c r="CL353" s="49" t="s">
        <v>29</v>
      </c>
      <c r="CM353" s="50">
        <v>0</v>
      </c>
      <c r="CN353" s="50"/>
      <c r="CO353" s="50"/>
      <c r="CP353" s="46" t="s">
        <v>23</v>
      </c>
      <c r="CQ353" s="46" t="s">
        <v>24</v>
      </c>
      <c r="CR353" s="46">
        <v>11</v>
      </c>
      <c r="CS353" s="46" t="s">
        <v>854</v>
      </c>
      <c r="CT353" s="46" t="s">
        <v>856</v>
      </c>
      <c r="CU353" s="46" t="s">
        <v>29</v>
      </c>
      <c r="CV353" s="46" t="s">
        <v>23</v>
      </c>
      <c r="CW353" s="46" t="s">
        <v>23</v>
      </c>
      <c r="CX353" s="49" t="s">
        <v>564</v>
      </c>
      <c r="CY353" s="49" t="s">
        <v>295</v>
      </c>
      <c r="CZ353" s="49">
        <v>0</v>
      </c>
      <c r="DA353" s="49">
        <v>0</v>
      </c>
      <c r="DB353" s="64">
        <v>44017.5</v>
      </c>
      <c r="DC353" s="58">
        <v>15.9</v>
      </c>
      <c r="DD353" s="58">
        <v>5.21</v>
      </c>
      <c r="DE353" s="58">
        <v>33.339999999999996</v>
      </c>
      <c r="DF353" s="58">
        <v>42.6</v>
      </c>
      <c r="DG353" s="58">
        <v>2.9079343442948828</v>
      </c>
      <c r="DH353" s="58">
        <v>84.1</v>
      </c>
      <c r="DI353" s="45" t="s">
        <v>35</v>
      </c>
      <c r="DJ353" s="59" t="str">
        <f t="shared" si="175"/>
        <v>No single majority group</v>
      </c>
      <c r="DK353" s="65">
        <v>44017.5</v>
      </c>
      <c r="DL353" s="58">
        <v>15.9</v>
      </c>
      <c r="DM353" s="58">
        <v>5.21</v>
      </c>
      <c r="DN353" s="58">
        <v>33.339999999999996</v>
      </c>
      <c r="DO353" s="58">
        <v>84.1</v>
      </c>
      <c r="DP353" s="66">
        <v>47.5</v>
      </c>
      <c r="DQ353" s="67">
        <v>86799.26</v>
      </c>
      <c r="DR353" s="53">
        <v>10.199999999999999</v>
      </c>
      <c r="DS353" s="58">
        <v>70.2</v>
      </c>
      <c r="DT353" s="53">
        <v>60</v>
      </c>
      <c r="DU353" s="55">
        <v>3.09</v>
      </c>
      <c r="DV353" s="50">
        <v>34.5</v>
      </c>
      <c r="DW353" s="53">
        <v>82.1</v>
      </c>
      <c r="DX353" s="53">
        <v>81.489999999999995</v>
      </c>
      <c r="DY353" s="53">
        <v>51.1023</v>
      </c>
      <c r="DZ353" s="63"/>
    </row>
    <row r="354" spans="1:130" s="5" customFormat="1" ht="14.25" hidden="1" customHeight="1">
      <c r="A354" s="45">
        <v>1317</v>
      </c>
      <c r="B354" s="46" t="s">
        <v>292</v>
      </c>
      <c r="C354" s="47">
        <v>2006</v>
      </c>
      <c r="D354" s="47" t="s">
        <v>300</v>
      </c>
      <c r="E354" s="46" t="s">
        <v>236</v>
      </c>
      <c r="F354" s="46">
        <v>4</v>
      </c>
      <c r="G354" s="48">
        <v>85000</v>
      </c>
      <c r="H354" s="46" t="s">
        <v>249</v>
      </c>
      <c r="I354" s="46">
        <v>1</v>
      </c>
      <c r="J354" s="47">
        <v>3</v>
      </c>
      <c r="K354" s="45" t="s">
        <v>314</v>
      </c>
      <c r="L354" s="45" t="s">
        <v>40</v>
      </c>
      <c r="M354" s="49" t="s">
        <v>35</v>
      </c>
      <c r="N354" s="49" t="s">
        <v>513</v>
      </c>
      <c r="O354" s="49"/>
      <c r="P354" s="45" t="s">
        <v>31</v>
      </c>
      <c r="Q354" s="49" t="s">
        <v>29</v>
      </c>
      <c r="R354" s="49">
        <v>1</v>
      </c>
      <c r="S354" s="50">
        <f t="shared" si="181"/>
        <v>33.333333333333329</v>
      </c>
      <c r="T354" s="49">
        <v>1</v>
      </c>
      <c r="U354" s="50">
        <f t="shared" si="182"/>
        <v>33.333333333333329</v>
      </c>
      <c r="V354" s="49" t="s">
        <v>789</v>
      </c>
      <c r="W354" s="49">
        <v>0</v>
      </c>
      <c r="X354" s="50">
        <f t="shared" si="183"/>
        <v>0</v>
      </c>
      <c r="Y354" s="51" t="str">
        <f t="shared" si="184"/>
        <v>No</v>
      </c>
      <c r="Z354" s="49" t="s">
        <v>29</v>
      </c>
      <c r="AA354" s="49" t="s">
        <v>29</v>
      </c>
      <c r="AB354" s="45" t="s">
        <v>35</v>
      </c>
      <c r="AC354" s="47" t="s">
        <v>151</v>
      </c>
      <c r="AD354" s="46" t="s">
        <v>152</v>
      </c>
      <c r="AE354" s="46" t="s">
        <v>73</v>
      </c>
      <c r="AF354" s="46" t="s">
        <v>29</v>
      </c>
      <c r="AG354" s="103"/>
      <c r="AH354" s="52">
        <v>15014</v>
      </c>
      <c r="AI354" s="52">
        <v>15014</v>
      </c>
      <c r="AJ354" s="108">
        <v>63.63</v>
      </c>
      <c r="AK354" s="104">
        <v>127.26</v>
      </c>
      <c r="AL354" s="108">
        <v>63.63</v>
      </c>
      <c r="AM354" s="108"/>
      <c r="AN354" s="53">
        <f t="shared" si="185"/>
        <v>127.26</v>
      </c>
      <c r="AO354" s="53">
        <v>19.399999999999999</v>
      </c>
      <c r="AP354" s="108"/>
      <c r="AQ354" s="108"/>
      <c r="AR354" s="108"/>
      <c r="AS354" s="108"/>
      <c r="AT354" s="108"/>
      <c r="AU354" s="108"/>
      <c r="AV354" s="108"/>
      <c r="AW354" s="108"/>
      <c r="AX354" s="108"/>
      <c r="AY354" s="108"/>
      <c r="AZ354" s="108"/>
      <c r="BA354" s="108"/>
      <c r="BB354" s="108"/>
      <c r="BC354" s="108"/>
      <c r="BD354" s="108"/>
      <c r="BE354" s="108"/>
      <c r="BF354" s="108"/>
      <c r="BG354" s="108"/>
      <c r="BH354" s="108"/>
      <c r="BI354" s="108"/>
      <c r="BJ354" s="108"/>
      <c r="BK354" s="108"/>
      <c r="BL354" s="108"/>
      <c r="BM354" s="108"/>
      <c r="BN354" s="108"/>
      <c r="BO354" s="108"/>
      <c r="BP354" s="108"/>
      <c r="BQ354" s="108"/>
      <c r="BR354" s="108"/>
      <c r="BS354" s="54" t="s">
        <v>29</v>
      </c>
      <c r="BT354" s="45" t="str">
        <f t="shared" si="178"/>
        <v>No</v>
      </c>
      <c r="BU354" s="45" t="str">
        <f t="shared" si="179"/>
        <v>No</v>
      </c>
      <c r="BV354" s="45" t="str">
        <f t="shared" si="180"/>
        <v>No</v>
      </c>
      <c r="BW354" s="55">
        <v>63.96501437186496</v>
      </c>
      <c r="BX354" s="55"/>
      <c r="BY354" s="55">
        <v>65.195014371864957</v>
      </c>
      <c r="BZ354" s="55"/>
      <c r="CA354" s="45">
        <v>2004</v>
      </c>
      <c r="CB354" s="55">
        <f t="shared" si="187"/>
        <v>23.707937911541315</v>
      </c>
      <c r="CC354" s="46" t="s">
        <v>281</v>
      </c>
      <c r="CD354" s="46" t="s">
        <v>151</v>
      </c>
      <c r="CE354" s="46" t="s">
        <v>783</v>
      </c>
      <c r="CF354" s="46">
        <v>2</v>
      </c>
      <c r="CG354" s="46" t="str">
        <f t="shared" si="186"/>
        <v>Yes</v>
      </c>
      <c r="CH354" s="46" t="s">
        <v>35</v>
      </c>
      <c r="CI354" s="56">
        <v>25</v>
      </c>
      <c r="CJ354" s="46">
        <v>50</v>
      </c>
      <c r="CK354" s="46" t="s">
        <v>23</v>
      </c>
      <c r="CL354" s="49" t="s">
        <v>29</v>
      </c>
      <c r="CM354" s="50">
        <v>0</v>
      </c>
      <c r="CN354" s="50"/>
      <c r="CO354" s="50"/>
      <c r="CP354" s="46" t="s">
        <v>23</v>
      </c>
      <c r="CQ354" s="46" t="s">
        <v>24</v>
      </c>
      <c r="CR354" s="46">
        <v>11</v>
      </c>
      <c r="CS354" s="46" t="s">
        <v>854</v>
      </c>
      <c r="CT354" s="46" t="s">
        <v>856</v>
      </c>
      <c r="CU354" s="46" t="s">
        <v>29</v>
      </c>
      <c r="CV354" s="46" t="s">
        <v>23</v>
      </c>
      <c r="CW354" s="46" t="s">
        <v>23</v>
      </c>
      <c r="CX354" s="49" t="s">
        <v>564</v>
      </c>
      <c r="CY354" s="49" t="s">
        <v>295</v>
      </c>
      <c r="CZ354" s="49">
        <v>0</v>
      </c>
      <c r="DA354" s="49">
        <v>0</v>
      </c>
      <c r="DB354" s="64">
        <v>63329</v>
      </c>
      <c r="DC354" s="58">
        <v>23.96</v>
      </c>
      <c r="DD354" s="58">
        <v>2.5700000000000003</v>
      </c>
      <c r="DE354" s="58">
        <v>23.21</v>
      </c>
      <c r="DF354" s="58">
        <v>47.97</v>
      </c>
      <c r="DG354" s="58">
        <v>2.240679625448057</v>
      </c>
      <c r="DH354" s="58">
        <v>76.039999999999992</v>
      </c>
      <c r="DI354" s="45" t="s">
        <v>35</v>
      </c>
      <c r="DJ354" s="59" t="str">
        <f t="shared" si="175"/>
        <v>No single majority group</v>
      </c>
      <c r="DK354" s="65">
        <v>63329</v>
      </c>
      <c r="DL354" s="58">
        <v>23.96</v>
      </c>
      <c r="DM354" s="58">
        <v>2.5700000000000003</v>
      </c>
      <c r="DN354" s="58">
        <v>23.21</v>
      </c>
      <c r="DO354" s="58">
        <v>76.039999999999992</v>
      </c>
      <c r="DP354" s="66">
        <v>47.5</v>
      </c>
      <c r="DQ354" s="67">
        <v>86799.26</v>
      </c>
      <c r="DR354" s="53">
        <v>10.199999999999999</v>
      </c>
      <c r="DS354" s="58">
        <v>70.2</v>
      </c>
      <c r="DT354" s="53">
        <v>60</v>
      </c>
      <c r="DU354" s="55">
        <v>3.09</v>
      </c>
      <c r="DV354" s="50">
        <v>34.5</v>
      </c>
      <c r="DW354" s="53">
        <v>82.1</v>
      </c>
      <c r="DX354" s="53">
        <v>81.489999999999995</v>
      </c>
      <c r="DY354" s="53">
        <v>51.1023</v>
      </c>
      <c r="DZ354" s="63"/>
    </row>
    <row r="355" spans="1:130" s="5" customFormat="1" ht="14.25" hidden="1" customHeight="1">
      <c r="A355" s="45">
        <v>1311</v>
      </c>
      <c r="B355" s="46" t="s">
        <v>292</v>
      </c>
      <c r="C355" s="47">
        <v>2006</v>
      </c>
      <c r="D355" s="47" t="s">
        <v>38</v>
      </c>
      <c r="E355" s="46" t="s">
        <v>22</v>
      </c>
      <c r="F355" s="46">
        <v>4</v>
      </c>
      <c r="G355" s="48">
        <v>105000</v>
      </c>
      <c r="H355" s="46" t="s">
        <v>249</v>
      </c>
      <c r="I355" s="46">
        <v>1</v>
      </c>
      <c r="J355" s="47">
        <v>10</v>
      </c>
      <c r="K355" s="45" t="s">
        <v>308</v>
      </c>
      <c r="L355" s="45" t="s">
        <v>30</v>
      </c>
      <c r="M355" s="49" t="s">
        <v>29</v>
      </c>
      <c r="N355" s="49" t="s">
        <v>512</v>
      </c>
      <c r="O355" s="49"/>
      <c r="P355" s="45" t="s">
        <v>31</v>
      </c>
      <c r="Q355" s="49" t="s">
        <v>29</v>
      </c>
      <c r="R355" s="49">
        <v>1</v>
      </c>
      <c r="S355" s="50">
        <f t="shared" si="181"/>
        <v>10</v>
      </c>
      <c r="T355" s="49">
        <v>2</v>
      </c>
      <c r="U355" s="50">
        <f t="shared" si="182"/>
        <v>20</v>
      </c>
      <c r="V355" s="49" t="s">
        <v>794</v>
      </c>
      <c r="W355" s="49">
        <v>1</v>
      </c>
      <c r="X355" s="50">
        <f t="shared" si="183"/>
        <v>10</v>
      </c>
      <c r="Y355" s="51" t="str">
        <f t="shared" si="184"/>
        <v>No</v>
      </c>
      <c r="Z355" s="49" t="s">
        <v>35</v>
      </c>
      <c r="AA355" s="49" t="s">
        <v>23</v>
      </c>
      <c r="AB355" s="49" t="s">
        <v>23</v>
      </c>
      <c r="AC355" s="47" t="s">
        <v>26</v>
      </c>
      <c r="AD355" s="46" t="s">
        <v>27</v>
      </c>
      <c r="AE355" s="46" t="s">
        <v>73</v>
      </c>
      <c r="AF355" s="46" t="s">
        <v>29</v>
      </c>
      <c r="AG355" s="103">
        <v>208411</v>
      </c>
      <c r="AH355" s="64">
        <v>126428</v>
      </c>
      <c r="AI355" s="52">
        <v>198114</v>
      </c>
      <c r="AJ355" s="108">
        <v>28.79</v>
      </c>
      <c r="AK355" s="104">
        <v>57.58</v>
      </c>
      <c r="AL355" s="108">
        <v>59.26</v>
      </c>
      <c r="AM355" s="108"/>
      <c r="AN355" s="53">
        <f t="shared" si="185"/>
        <v>118.52</v>
      </c>
      <c r="AO355" s="53">
        <v>23.17</v>
      </c>
      <c r="AP355" s="108">
        <v>10297</v>
      </c>
      <c r="AQ355" s="108">
        <v>4.9407181002922105</v>
      </c>
      <c r="AR355" s="108"/>
      <c r="AS355" s="108"/>
      <c r="AT355" s="108"/>
      <c r="AU355" s="108"/>
      <c r="AV355" s="108"/>
      <c r="AW355" s="108"/>
      <c r="AX355" s="108"/>
      <c r="AY355" s="108"/>
      <c r="AZ355" s="108"/>
      <c r="BA355" s="108"/>
      <c r="BB355" s="108"/>
      <c r="BC355" s="108"/>
      <c r="BD355" s="108"/>
      <c r="BE355" s="108"/>
      <c r="BF355" s="108"/>
      <c r="BG355" s="108"/>
      <c r="BH355" s="108"/>
      <c r="BI355" s="108"/>
      <c r="BJ355" s="108"/>
      <c r="BK355" s="108"/>
      <c r="BL355" s="108"/>
      <c r="BM355" s="108"/>
      <c r="BN355" s="108"/>
      <c r="BO355" s="108"/>
      <c r="BP355" s="108"/>
      <c r="BQ355" s="108"/>
      <c r="BR355" s="108"/>
      <c r="BS355" s="54" t="s">
        <v>29</v>
      </c>
      <c r="BT355" s="45" t="str">
        <f t="shared" si="178"/>
        <v>Yes</v>
      </c>
      <c r="BU355" s="45" t="str">
        <f t="shared" si="179"/>
        <v>Yes</v>
      </c>
      <c r="BV355" s="45" t="str">
        <f t="shared" si="180"/>
        <v>No</v>
      </c>
      <c r="BW355" s="55">
        <v>63.96501437186496</v>
      </c>
      <c r="BX355" s="55">
        <v>63.96501437186496</v>
      </c>
      <c r="BY355" s="55">
        <v>65.195014371864957</v>
      </c>
      <c r="BZ355" s="55">
        <f>BX355-(-0.0246*100/2)</f>
        <v>65.195014371864957</v>
      </c>
      <c r="CA355" s="45">
        <v>2004</v>
      </c>
      <c r="CB355" s="55">
        <f t="shared" si="187"/>
        <v>36.612180405274295</v>
      </c>
      <c r="CC355" s="46" t="s">
        <v>281</v>
      </c>
      <c r="CD355" s="46" t="s">
        <v>151</v>
      </c>
      <c r="CE355" s="46" t="s">
        <v>783</v>
      </c>
      <c r="CF355" s="46">
        <v>2</v>
      </c>
      <c r="CG355" s="46" t="str">
        <f t="shared" si="186"/>
        <v>Yes</v>
      </c>
      <c r="CH355" s="46" t="s">
        <v>35</v>
      </c>
      <c r="CI355" s="56">
        <v>25</v>
      </c>
      <c r="CJ355" s="46">
        <v>50</v>
      </c>
      <c r="CK355" s="46" t="s">
        <v>23</v>
      </c>
      <c r="CL355" s="49" t="s">
        <v>29</v>
      </c>
      <c r="CM355" s="50">
        <v>0</v>
      </c>
      <c r="CN355" s="50">
        <v>4964484.2831999995</v>
      </c>
      <c r="CO355" s="50" t="s">
        <v>29</v>
      </c>
      <c r="CP355" s="46" t="s">
        <v>23</v>
      </c>
      <c r="CQ355" s="46" t="s">
        <v>23</v>
      </c>
      <c r="CR355" s="46">
        <v>11</v>
      </c>
      <c r="CS355" s="46" t="s">
        <v>854</v>
      </c>
      <c r="CT355" s="46" t="s">
        <v>53</v>
      </c>
      <c r="CU355" s="46" t="s">
        <v>29</v>
      </c>
      <c r="CV355" s="46" t="s">
        <v>23</v>
      </c>
      <c r="CW355" s="46" t="s">
        <v>23</v>
      </c>
      <c r="CX355" s="49" t="s">
        <v>564</v>
      </c>
      <c r="CY355" s="49" t="s">
        <v>295</v>
      </c>
      <c r="CZ355" s="49">
        <v>0</v>
      </c>
      <c r="DA355" s="49">
        <v>0</v>
      </c>
      <c r="DB355" s="57">
        <v>541115</v>
      </c>
      <c r="DC355" s="58">
        <v>42.74</v>
      </c>
      <c r="DD355" s="58">
        <v>3.63</v>
      </c>
      <c r="DE355" s="58">
        <v>22.27</v>
      </c>
      <c r="DF355" s="58">
        <v>29.07</v>
      </c>
      <c r="DG355" s="58">
        <v>2.289999999999992</v>
      </c>
      <c r="DH355" s="58">
        <v>57.26</v>
      </c>
      <c r="DI355" s="45" t="s">
        <v>35</v>
      </c>
      <c r="DJ355" s="59" t="str">
        <f t="shared" si="175"/>
        <v>No single majority group</v>
      </c>
      <c r="DK355" s="65">
        <v>541115</v>
      </c>
      <c r="DL355" s="58">
        <v>42.74</v>
      </c>
      <c r="DM355" s="58">
        <v>3.63</v>
      </c>
      <c r="DN355" s="58">
        <v>22.27</v>
      </c>
      <c r="DO355" s="58">
        <v>57.26</v>
      </c>
      <c r="DP355" s="66">
        <v>47.5</v>
      </c>
      <c r="DQ355" s="67">
        <v>86799.26</v>
      </c>
      <c r="DR355" s="53">
        <v>10.199999999999999</v>
      </c>
      <c r="DS355" s="58">
        <v>70.2</v>
      </c>
      <c r="DT355" s="53">
        <v>60</v>
      </c>
      <c r="DU355" s="55">
        <v>3.09</v>
      </c>
      <c r="DV355" s="50">
        <v>34.5</v>
      </c>
      <c r="DW355" s="53">
        <v>82.1</v>
      </c>
      <c r="DX355" s="53">
        <v>81.489999999999995</v>
      </c>
      <c r="DY355" s="53">
        <v>51.1023</v>
      </c>
      <c r="DZ355" s="63"/>
    </row>
    <row r="356" spans="1:130" s="5" customFormat="1" ht="14.25" hidden="1" customHeight="1">
      <c r="A356" s="45">
        <v>1310</v>
      </c>
      <c r="B356" s="46" t="s">
        <v>292</v>
      </c>
      <c r="C356" s="47">
        <v>2007</v>
      </c>
      <c r="D356" s="47" t="s">
        <v>79</v>
      </c>
      <c r="E356" s="71" t="s">
        <v>80</v>
      </c>
      <c r="F356" s="46">
        <v>1</v>
      </c>
      <c r="G356" s="48">
        <v>85000</v>
      </c>
      <c r="H356" s="46" t="s">
        <v>249</v>
      </c>
      <c r="I356" s="46">
        <v>1</v>
      </c>
      <c r="J356" s="47">
        <v>8</v>
      </c>
      <c r="K356" s="45" t="s">
        <v>303</v>
      </c>
      <c r="L356" s="45" t="s">
        <v>30</v>
      </c>
      <c r="M356" s="49" t="s">
        <v>29</v>
      </c>
      <c r="N356" s="49" t="s">
        <v>512</v>
      </c>
      <c r="O356" s="49"/>
      <c r="P356" s="45" t="s">
        <v>34</v>
      </c>
      <c r="Q356" s="49" t="s">
        <v>35</v>
      </c>
      <c r="R356" s="49">
        <v>3</v>
      </c>
      <c r="S356" s="50">
        <f t="shared" si="181"/>
        <v>37.5</v>
      </c>
      <c r="T356" s="49">
        <v>5</v>
      </c>
      <c r="U356" s="50">
        <f t="shared" si="182"/>
        <v>62.5</v>
      </c>
      <c r="V356" s="49" t="s">
        <v>886</v>
      </c>
      <c r="W356" s="45"/>
      <c r="X356" s="50">
        <f t="shared" si="183"/>
        <v>0</v>
      </c>
      <c r="Y356" s="51" t="str">
        <f t="shared" si="184"/>
        <v>No</v>
      </c>
      <c r="Z356" s="49" t="s">
        <v>35</v>
      </c>
      <c r="AA356" s="49" t="s">
        <v>23</v>
      </c>
      <c r="AB356" s="49" t="s">
        <v>23</v>
      </c>
      <c r="AC356" s="47" t="s">
        <v>267</v>
      </c>
      <c r="AD356" s="46" t="s">
        <v>152</v>
      </c>
      <c r="AE356" s="46" t="s">
        <v>228</v>
      </c>
      <c r="AF356" s="46" t="s">
        <v>35</v>
      </c>
      <c r="AG356" s="103">
        <v>11283</v>
      </c>
      <c r="AH356" s="52">
        <v>9522</v>
      </c>
      <c r="AI356" s="52">
        <v>11196</v>
      </c>
      <c r="AJ356" s="108">
        <v>31</v>
      </c>
      <c r="AK356" s="104">
        <v>62</v>
      </c>
      <c r="AL356" s="108">
        <v>64.73</v>
      </c>
      <c r="AM356" s="108"/>
      <c r="AN356" s="53">
        <f t="shared" si="185"/>
        <v>129.46</v>
      </c>
      <c r="AO356" s="53">
        <v>24.74</v>
      </c>
      <c r="AP356" s="108">
        <v>87</v>
      </c>
      <c r="AQ356" s="108">
        <v>0.77107152353097574</v>
      </c>
      <c r="AR356" s="108"/>
      <c r="AS356" s="108"/>
      <c r="AT356" s="108"/>
      <c r="AU356" s="108"/>
      <c r="AV356" s="108"/>
      <c r="AW356" s="108"/>
      <c r="AX356" s="108"/>
      <c r="AY356" s="108"/>
      <c r="AZ356" s="108"/>
      <c r="BA356" s="108"/>
      <c r="BB356" s="108"/>
      <c r="BC356" s="108"/>
      <c r="BD356" s="108"/>
      <c r="BE356" s="108"/>
      <c r="BF356" s="108"/>
      <c r="BG356" s="108"/>
      <c r="BH356" s="108"/>
      <c r="BI356" s="108"/>
      <c r="BJ356" s="108"/>
      <c r="BK356" s="108"/>
      <c r="BL356" s="108"/>
      <c r="BM356" s="108"/>
      <c r="BN356" s="108">
        <v>31</v>
      </c>
      <c r="BO356" s="102">
        <f>AI356-AH356</f>
        <v>1674</v>
      </c>
      <c r="BP356" s="102">
        <f>BO356/AH356 *100</f>
        <v>17.580340264650285</v>
      </c>
      <c r="BQ356" s="102" t="str">
        <f>IF(AND((AH356*(BN356/100))&gt;(AI356*(AL356/100)),  AJ356 &lt;&gt;  BN356), "yes", "no")</f>
        <v>no</v>
      </c>
      <c r="BR356" s="108"/>
      <c r="BS356" s="54" t="s">
        <v>29</v>
      </c>
      <c r="BT356" s="45" t="str">
        <f t="shared" si="178"/>
        <v>Yes</v>
      </c>
      <c r="BU356" s="45" t="str">
        <f t="shared" si="179"/>
        <v>Yes</v>
      </c>
      <c r="BV356" s="45" t="str">
        <f t="shared" si="180"/>
        <v>No</v>
      </c>
      <c r="BW356" s="55">
        <v>70.427806302416002</v>
      </c>
      <c r="BX356" s="55"/>
      <c r="BY356" s="55">
        <v>66.792806302415997</v>
      </c>
      <c r="BZ356" s="55"/>
      <c r="CA356" s="45">
        <v>2008</v>
      </c>
      <c r="CB356" s="55">
        <f t="shared" si="187"/>
        <v>18.633912522468542</v>
      </c>
      <c r="CC356" s="46" t="s">
        <v>266</v>
      </c>
      <c r="CD356" s="46" t="s">
        <v>291</v>
      </c>
      <c r="CE356" s="46" t="s">
        <v>783</v>
      </c>
      <c r="CF356" s="46">
        <v>2</v>
      </c>
      <c r="CG356" s="46" t="str">
        <f t="shared" si="186"/>
        <v>No</v>
      </c>
      <c r="CH356" s="46" t="s">
        <v>35</v>
      </c>
      <c r="CI356" s="56">
        <v>25</v>
      </c>
      <c r="CJ356" s="46">
        <v>50</v>
      </c>
      <c r="CK356" s="46" t="s">
        <v>23</v>
      </c>
      <c r="CL356" s="49" t="s">
        <v>29</v>
      </c>
      <c r="CM356" s="50">
        <v>0</v>
      </c>
      <c r="CN356" s="50"/>
      <c r="CO356" s="50"/>
      <c r="CP356" s="46" t="s">
        <v>23</v>
      </c>
      <c r="CQ356" s="46" t="s">
        <v>24</v>
      </c>
      <c r="CR356" s="46">
        <v>11</v>
      </c>
      <c r="CS356" s="46" t="s">
        <v>854</v>
      </c>
      <c r="CT356" s="46" t="s">
        <v>856</v>
      </c>
      <c r="CU356" s="46" t="s">
        <v>29</v>
      </c>
      <c r="CV356" s="46" t="s">
        <v>23</v>
      </c>
      <c r="CW356" s="46" t="s">
        <v>23</v>
      </c>
      <c r="CX356" s="49" t="s">
        <v>564</v>
      </c>
      <c r="CY356" s="49" t="s">
        <v>295</v>
      </c>
      <c r="CZ356" s="49">
        <v>0</v>
      </c>
      <c r="DA356" s="49">
        <v>0</v>
      </c>
      <c r="DB356" s="64">
        <v>60084</v>
      </c>
      <c r="DC356" s="58">
        <v>25.88</v>
      </c>
      <c r="DD356" s="58">
        <v>3.92</v>
      </c>
      <c r="DE356" s="58">
        <v>14.299999999999999</v>
      </c>
      <c r="DF356" s="58">
        <v>53.669999999999995</v>
      </c>
      <c r="DG356" s="58">
        <v>2.2867984821250249</v>
      </c>
      <c r="DH356" s="58">
        <v>74.12</v>
      </c>
      <c r="DI356" s="45" t="s">
        <v>35</v>
      </c>
      <c r="DJ356" s="59" t="str">
        <f t="shared" si="175"/>
        <v>Asian</v>
      </c>
      <c r="DK356" s="65">
        <v>60084</v>
      </c>
      <c r="DL356" s="58">
        <v>25.88</v>
      </c>
      <c r="DM356" s="58">
        <v>3.92</v>
      </c>
      <c r="DN356" s="58">
        <v>14.299999999999999</v>
      </c>
      <c r="DO356" s="58">
        <v>74.12</v>
      </c>
      <c r="DP356" s="66">
        <v>47.5</v>
      </c>
      <c r="DQ356" s="67">
        <v>86799.26</v>
      </c>
      <c r="DR356" s="53">
        <v>10.199999999999999</v>
      </c>
      <c r="DS356" s="58">
        <v>70.2</v>
      </c>
      <c r="DT356" s="53">
        <v>60</v>
      </c>
      <c r="DU356" s="55">
        <v>3.09</v>
      </c>
      <c r="DV356" s="50">
        <v>34.5</v>
      </c>
      <c r="DW356" s="53">
        <v>82.1</v>
      </c>
      <c r="DX356" s="53">
        <v>81.489999999999995</v>
      </c>
      <c r="DY356" s="53">
        <v>51.1023</v>
      </c>
      <c r="DZ356" s="63"/>
    </row>
    <row r="357" spans="1:130" s="5" customFormat="1" ht="14.25" hidden="1" customHeight="1">
      <c r="A357" s="45">
        <v>1309</v>
      </c>
      <c r="B357" s="46" t="s">
        <v>292</v>
      </c>
      <c r="C357" s="47">
        <v>2008</v>
      </c>
      <c r="D357" s="47" t="s">
        <v>306</v>
      </c>
      <c r="E357" s="46" t="s">
        <v>224</v>
      </c>
      <c r="F357" s="46">
        <v>4</v>
      </c>
      <c r="G357" s="48">
        <v>85000</v>
      </c>
      <c r="H357" s="46" t="s">
        <v>249</v>
      </c>
      <c r="I357" s="46">
        <v>1</v>
      </c>
      <c r="J357" s="47">
        <v>2</v>
      </c>
      <c r="K357" s="45" t="s">
        <v>312</v>
      </c>
      <c r="L357" s="45" t="s">
        <v>40</v>
      </c>
      <c r="M357" s="49" t="s">
        <v>35</v>
      </c>
      <c r="N357" s="49" t="s">
        <v>513</v>
      </c>
      <c r="O357" s="49"/>
      <c r="P357" s="45" t="s">
        <v>31</v>
      </c>
      <c r="Q357" s="49" t="s">
        <v>29</v>
      </c>
      <c r="R357" s="49">
        <v>1</v>
      </c>
      <c r="S357" s="50">
        <f t="shared" si="181"/>
        <v>50</v>
      </c>
      <c r="T357" s="49">
        <v>1</v>
      </c>
      <c r="U357" s="50">
        <f t="shared" si="182"/>
        <v>50</v>
      </c>
      <c r="V357" s="49" t="s">
        <v>173</v>
      </c>
      <c r="W357" s="49">
        <v>0</v>
      </c>
      <c r="X357" s="50">
        <f t="shared" si="183"/>
        <v>0</v>
      </c>
      <c r="Y357" s="51" t="str">
        <f t="shared" si="184"/>
        <v>No</v>
      </c>
      <c r="Z357" s="49" t="s">
        <v>29</v>
      </c>
      <c r="AA357" s="49" t="s">
        <v>29</v>
      </c>
      <c r="AB357" s="45" t="s">
        <v>35</v>
      </c>
      <c r="AC357" s="47" t="s">
        <v>151</v>
      </c>
      <c r="AD357" s="46" t="s">
        <v>152</v>
      </c>
      <c r="AE357" s="46" t="s">
        <v>89</v>
      </c>
      <c r="AF357" s="46" t="s">
        <v>29</v>
      </c>
      <c r="AG357" s="103"/>
      <c r="AH357" s="52">
        <v>12757</v>
      </c>
      <c r="AI357" s="52">
        <v>12757</v>
      </c>
      <c r="AJ357" s="108">
        <v>89.38</v>
      </c>
      <c r="AK357" s="104">
        <v>178.76</v>
      </c>
      <c r="AL357" s="108">
        <v>89.38</v>
      </c>
      <c r="AM357" s="108"/>
      <c r="AN357" s="53">
        <f t="shared" si="185"/>
        <v>178.76</v>
      </c>
      <c r="AO357" s="53">
        <v>10.62</v>
      </c>
      <c r="AP357" s="108"/>
      <c r="AQ357" s="108"/>
      <c r="AR357" s="108"/>
      <c r="AS357" s="108"/>
      <c r="AT357" s="108"/>
      <c r="AU357" s="108"/>
      <c r="AV357" s="108"/>
      <c r="AW357" s="108"/>
      <c r="AX357" s="108"/>
      <c r="AY357" s="108"/>
      <c r="AZ357" s="108"/>
      <c r="BA357" s="108"/>
      <c r="BB357" s="108"/>
      <c r="BC357" s="108"/>
      <c r="BD357" s="108"/>
      <c r="BE357" s="108"/>
      <c r="BF357" s="108"/>
      <c r="BG357" s="108"/>
      <c r="BH357" s="108"/>
      <c r="BI357" s="108"/>
      <c r="BJ357" s="108"/>
      <c r="BK357" s="108"/>
      <c r="BL357" s="108"/>
      <c r="BM357" s="108"/>
      <c r="BN357" s="108"/>
      <c r="BO357" s="108"/>
      <c r="BP357" s="108"/>
      <c r="BQ357" s="108"/>
      <c r="BR357" s="108"/>
      <c r="BS357" s="54" t="s">
        <v>29</v>
      </c>
      <c r="BT357" s="45" t="str">
        <f t="shared" si="178"/>
        <v>No</v>
      </c>
      <c r="BU357" s="45" t="str">
        <f t="shared" si="179"/>
        <v>No</v>
      </c>
      <c r="BV357" s="45" t="str">
        <f t="shared" si="180"/>
        <v>No</v>
      </c>
      <c r="BW357" s="55">
        <v>70.427806302416002</v>
      </c>
      <c r="BX357" s="55"/>
      <c r="BY357" s="55">
        <v>66.792806302415997</v>
      </c>
      <c r="BZ357" s="55"/>
      <c r="CA357" s="45">
        <v>2008</v>
      </c>
      <c r="CB357" s="55">
        <f t="shared" si="187"/>
        <v>20.158333860059415</v>
      </c>
      <c r="CC357" s="46" t="s">
        <v>281</v>
      </c>
      <c r="CD357" s="46" t="s">
        <v>151</v>
      </c>
      <c r="CE357" s="46" t="s">
        <v>783</v>
      </c>
      <c r="CF357" s="46">
        <v>2</v>
      </c>
      <c r="CG357" s="46" t="str">
        <f t="shared" si="186"/>
        <v>Yes</v>
      </c>
      <c r="CH357" s="46" t="s">
        <v>35</v>
      </c>
      <c r="CI357" s="56">
        <v>25</v>
      </c>
      <c r="CJ357" s="46">
        <v>50</v>
      </c>
      <c r="CK357" s="46" t="s">
        <v>23</v>
      </c>
      <c r="CL357" s="49" t="s">
        <v>29</v>
      </c>
      <c r="CM357" s="50">
        <v>0</v>
      </c>
      <c r="CN357" s="50"/>
      <c r="CO357" s="50"/>
      <c r="CP357" s="46" t="s">
        <v>23</v>
      </c>
      <c r="CQ357" s="46" t="s">
        <v>24</v>
      </c>
      <c r="CR357" s="46">
        <v>11</v>
      </c>
      <c r="CS357" s="46" t="s">
        <v>854</v>
      </c>
      <c r="CT357" s="46" t="s">
        <v>856</v>
      </c>
      <c r="CU357" s="46" t="s">
        <v>29</v>
      </c>
      <c r="CV357" s="46" t="s">
        <v>23</v>
      </c>
      <c r="CW357" s="46" t="s">
        <v>23</v>
      </c>
      <c r="CX357" s="49" t="s">
        <v>927</v>
      </c>
      <c r="CY357" s="49" t="s">
        <v>295</v>
      </c>
      <c r="CZ357" s="49">
        <v>0</v>
      </c>
      <c r="DA357" s="49">
        <v>0</v>
      </c>
      <c r="DB357" s="64">
        <v>63284</v>
      </c>
      <c r="DC357" s="58">
        <v>59.14</v>
      </c>
      <c r="DD357" s="58">
        <v>2.88</v>
      </c>
      <c r="DE357" s="58">
        <v>15.010000000000002</v>
      </c>
      <c r="DF357" s="58">
        <v>20.830000000000002</v>
      </c>
      <c r="DG357" s="58">
        <v>2.1853865115985083</v>
      </c>
      <c r="DH357" s="58">
        <v>40.86</v>
      </c>
      <c r="DI357" s="45" t="s">
        <v>29</v>
      </c>
      <c r="DJ357" s="59" t="str">
        <f t="shared" si="175"/>
        <v>N/A</v>
      </c>
      <c r="DK357" s="65">
        <v>63284</v>
      </c>
      <c r="DL357" s="58">
        <v>59.14</v>
      </c>
      <c r="DM357" s="58">
        <v>2.88</v>
      </c>
      <c r="DN357" s="58">
        <v>15.010000000000002</v>
      </c>
      <c r="DO357" s="58">
        <v>40.86</v>
      </c>
      <c r="DP357" s="66">
        <v>49.35</v>
      </c>
      <c r="DQ357" s="67">
        <v>86210.57</v>
      </c>
      <c r="DR357" s="53">
        <v>10.8</v>
      </c>
      <c r="DS357" s="58">
        <v>71.3</v>
      </c>
      <c r="DT357" s="53">
        <v>60.2</v>
      </c>
      <c r="DU357" s="55">
        <v>3.05</v>
      </c>
      <c r="DV357" s="50">
        <v>34.799999999999997</v>
      </c>
      <c r="DW357" s="53">
        <v>82.4</v>
      </c>
      <c r="DX357" s="53">
        <v>80.59</v>
      </c>
      <c r="DY357" s="53">
        <v>63.732199999999999</v>
      </c>
      <c r="DZ357" s="63"/>
    </row>
    <row r="358" spans="1:130" s="5" customFormat="1" ht="14.25" hidden="1" customHeight="1">
      <c r="A358" s="45">
        <v>1305</v>
      </c>
      <c r="B358" s="46" t="s">
        <v>292</v>
      </c>
      <c r="C358" s="47">
        <v>2008</v>
      </c>
      <c r="D358" s="47" t="s">
        <v>91</v>
      </c>
      <c r="E358" s="71" t="s">
        <v>92</v>
      </c>
      <c r="F358" s="46">
        <v>4</v>
      </c>
      <c r="G358" s="48">
        <v>85000</v>
      </c>
      <c r="H358" s="46" t="s">
        <v>249</v>
      </c>
      <c r="I358" s="46">
        <v>1</v>
      </c>
      <c r="J358" s="47">
        <v>6</v>
      </c>
      <c r="K358" s="45" t="s">
        <v>302</v>
      </c>
      <c r="L358" s="45" t="s">
        <v>30</v>
      </c>
      <c r="M358" s="49" t="s">
        <v>29</v>
      </c>
      <c r="N358" s="49" t="s">
        <v>512</v>
      </c>
      <c r="O358" s="49"/>
      <c r="P358" s="45" t="s">
        <v>34</v>
      </c>
      <c r="Q358" s="49" t="s">
        <v>35</v>
      </c>
      <c r="R358" s="49">
        <v>1</v>
      </c>
      <c r="S358" s="50">
        <f t="shared" si="181"/>
        <v>16.666666666666664</v>
      </c>
      <c r="T358" s="49">
        <v>5</v>
      </c>
      <c r="U358" s="50">
        <f t="shared" si="182"/>
        <v>83.333333333333343</v>
      </c>
      <c r="V358" s="49" t="s">
        <v>888</v>
      </c>
      <c r="W358" s="49">
        <v>1</v>
      </c>
      <c r="X358" s="50">
        <f t="shared" si="183"/>
        <v>16.666666666666664</v>
      </c>
      <c r="Y358" s="51" t="str">
        <f t="shared" si="184"/>
        <v>No</v>
      </c>
      <c r="Z358" s="49" t="s">
        <v>35</v>
      </c>
      <c r="AA358" s="49" t="s">
        <v>23</v>
      </c>
      <c r="AB358" s="49" t="s">
        <v>23</v>
      </c>
      <c r="AC358" s="47" t="s">
        <v>26</v>
      </c>
      <c r="AD358" s="46" t="s">
        <v>27</v>
      </c>
      <c r="AE358" s="46" t="s">
        <v>89</v>
      </c>
      <c r="AF358" s="46" t="s">
        <v>29</v>
      </c>
      <c r="AG358" s="103">
        <v>34714</v>
      </c>
      <c r="AH358" s="52">
        <v>11286</v>
      </c>
      <c r="AI358" s="52">
        <v>28734</v>
      </c>
      <c r="AJ358" s="108">
        <v>42.21</v>
      </c>
      <c r="AK358" s="104">
        <v>84.42</v>
      </c>
      <c r="AL358" s="108">
        <v>54.43</v>
      </c>
      <c r="AM358" s="108"/>
      <c r="AN358" s="53">
        <f t="shared" si="185"/>
        <v>108.86</v>
      </c>
      <c r="AO358" s="53">
        <v>18.559999999999999</v>
      </c>
      <c r="AP358" s="108">
        <v>5980</v>
      </c>
      <c r="AQ358" s="108">
        <v>17.226479230281729</v>
      </c>
      <c r="AR358" s="108"/>
      <c r="AS358" s="108"/>
      <c r="AT358" s="108"/>
      <c r="AU358" s="108"/>
      <c r="AV358" s="108"/>
      <c r="AW358" s="108"/>
      <c r="AX358" s="108"/>
      <c r="AY358" s="108"/>
      <c r="AZ358" s="108"/>
      <c r="BA358" s="108"/>
      <c r="BB358" s="108"/>
      <c r="BC358" s="108"/>
      <c r="BD358" s="108"/>
      <c r="BE358" s="108"/>
      <c r="BF358" s="108"/>
      <c r="BG358" s="108"/>
      <c r="BH358" s="108"/>
      <c r="BI358" s="108"/>
      <c r="BJ358" s="108"/>
      <c r="BK358" s="108"/>
      <c r="BL358" s="108"/>
      <c r="BM358" s="108"/>
      <c r="BN358" s="108"/>
      <c r="BO358" s="108"/>
      <c r="BP358" s="108"/>
      <c r="BQ358" s="108"/>
      <c r="BR358" s="108"/>
      <c r="BS358" s="54" t="s">
        <v>29</v>
      </c>
      <c r="BT358" s="45" t="str">
        <f t="shared" si="178"/>
        <v>No</v>
      </c>
      <c r="BU358" s="45" t="str">
        <f t="shared" si="179"/>
        <v>No</v>
      </c>
      <c r="BV358" s="45" t="str">
        <f t="shared" si="180"/>
        <v>No</v>
      </c>
      <c r="BW358" s="55">
        <v>70.427806302416002</v>
      </c>
      <c r="BX358" s="55"/>
      <c r="BY358" s="55">
        <v>66.792806302415997</v>
      </c>
      <c r="BZ358" s="55"/>
      <c r="CA358" s="45">
        <v>2008</v>
      </c>
      <c r="CB358" s="55">
        <f t="shared" si="187"/>
        <v>49.14062900826022</v>
      </c>
      <c r="CC358" s="46" t="s">
        <v>281</v>
      </c>
      <c r="CD358" s="46" t="s">
        <v>151</v>
      </c>
      <c r="CE358" s="46" t="s">
        <v>783</v>
      </c>
      <c r="CF358" s="46">
        <v>2</v>
      </c>
      <c r="CG358" s="46" t="str">
        <f t="shared" si="186"/>
        <v>Yes</v>
      </c>
      <c r="CH358" s="46" t="s">
        <v>35</v>
      </c>
      <c r="CI358" s="56">
        <v>25</v>
      </c>
      <c r="CJ358" s="46">
        <v>50</v>
      </c>
      <c r="CK358" s="46" t="s">
        <v>23</v>
      </c>
      <c r="CL358" s="49" t="s">
        <v>29</v>
      </c>
      <c r="CM358" s="50">
        <v>0</v>
      </c>
      <c r="CN358" s="50"/>
      <c r="CO358" s="50"/>
      <c r="CP358" s="46" t="s">
        <v>23</v>
      </c>
      <c r="CQ358" s="46" t="s">
        <v>24</v>
      </c>
      <c r="CR358" s="46">
        <v>11</v>
      </c>
      <c r="CS358" s="46" t="s">
        <v>854</v>
      </c>
      <c r="CT358" s="46" t="s">
        <v>856</v>
      </c>
      <c r="CU358" s="46" t="s">
        <v>29</v>
      </c>
      <c r="CV358" s="46" t="s">
        <v>23</v>
      </c>
      <c r="CW358" s="46" t="s">
        <v>23</v>
      </c>
      <c r="CX358" s="49" t="s">
        <v>927</v>
      </c>
      <c r="CY358" s="49" t="s">
        <v>295</v>
      </c>
      <c r="CZ358" s="49">
        <v>0</v>
      </c>
      <c r="DA358" s="49">
        <v>0</v>
      </c>
      <c r="DB358" s="64">
        <v>58473</v>
      </c>
      <c r="DC358" s="58">
        <v>44.28</v>
      </c>
      <c r="DD358" s="58">
        <v>4.33</v>
      </c>
      <c r="DE358" s="58">
        <v>24.45</v>
      </c>
      <c r="DF358" s="58">
        <v>24.32</v>
      </c>
      <c r="DG358" s="58">
        <v>2.6507960939236916</v>
      </c>
      <c r="DH358" s="58">
        <v>55.719999999999992</v>
      </c>
      <c r="DI358" s="45" t="s">
        <v>35</v>
      </c>
      <c r="DJ358" s="59" t="str">
        <f t="shared" ref="DJ358:DJ389" si="188">IF(DH358&lt;50,"N/A",IF(DD358&gt;50,"African American",IF(DE358&gt;50,"Latino",IF(DF358&gt;50,"Asian","No single majority group"))))</f>
        <v>No single majority group</v>
      </c>
      <c r="DK358" s="65">
        <v>58473</v>
      </c>
      <c r="DL358" s="58">
        <v>44.28</v>
      </c>
      <c r="DM358" s="58">
        <v>4.33</v>
      </c>
      <c r="DN358" s="58">
        <v>24.45</v>
      </c>
      <c r="DO358" s="58">
        <v>55.719999999999992</v>
      </c>
      <c r="DP358" s="66">
        <v>49.35</v>
      </c>
      <c r="DQ358" s="67">
        <v>86210.57</v>
      </c>
      <c r="DR358" s="53">
        <v>10.8</v>
      </c>
      <c r="DS358" s="58">
        <v>71.3</v>
      </c>
      <c r="DT358" s="53">
        <v>60.2</v>
      </c>
      <c r="DU358" s="55">
        <v>3.05</v>
      </c>
      <c r="DV358" s="50">
        <v>34.799999999999997</v>
      </c>
      <c r="DW358" s="53">
        <v>82.4</v>
      </c>
      <c r="DX358" s="53">
        <v>80.59</v>
      </c>
      <c r="DY358" s="53">
        <v>63.732199999999999</v>
      </c>
      <c r="DZ358" s="63"/>
    </row>
    <row r="359" spans="1:130" s="5" customFormat="1" ht="14.25" hidden="1" customHeight="1">
      <c r="A359" s="45">
        <v>1306</v>
      </c>
      <c r="B359" s="46" t="s">
        <v>292</v>
      </c>
      <c r="C359" s="47">
        <v>2008</v>
      </c>
      <c r="D359" s="47" t="s">
        <v>79</v>
      </c>
      <c r="E359" s="71" t="s">
        <v>80</v>
      </c>
      <c r="F359" s="46">
        <v>4</v>
      </c>
      <c r="G359" s="48">
        <v>85000</v>
      </c>
      <c r="H359" s="46" t="s">
        <v>249</v>
      </c>
      <c r="I359" s="46">
        <v>1</v>
      </c>
      <c r="J359" s="47">
        <v>1</v>
      </c>
      <c r="K359" s="49" t="s">
        <v>303</v>
      </c>
      <c r="L359" s="45" t="s">
        <v>30</v>
      </c>
      <c r="M359" s="49" t="s">
        <v>29</v>
      </c>
      <c r="N359" s="49" t="s">
        <v>513</v>
      </c>
      <c r="O359" s="49"/>
      <c r="P359" s="45" t="s">
        <v>174</v>
      </c>
      <c r="Q359" s="49" t="s">
        <v>29</v>
      </c>
      <c r="R359" s="49">
        <v>0</v>
      </c>
      <c r="S359" s="50">
        <f t="shared" si="181"/>
        <v>0</v>
      </c>
      <c r="T359" s="49">
        <v>1</v>
      </c>
      <c r="U359" s="50">
        <f t="shared" si="182"/>
        <v>100</v>
      </c>
      <c r="V359" s="49" t="s">
        <v>173</v>
      </c>
      <c r="W359" s="49">
        <v>0</v>
      </c>
      <c r="X359" s="50">
        <f t="shared" si="183"/>
        <v>0</v>
      </c>
      <c r="Y359" s="51" t="str">
        <f t="shared" si="184"/>
        <v>No</v>
      </c>
      <c r="Z359" s="49" t="s">
        <v>29</v>
      </c>
      <c r="AA359" s="49" t="s">
        <v>29</v>
      </c>
      <c r="AB359" s="49" t="s">
        <v>29</v>
      </c>
      <c r="AC359" s="47" t="s">
        <v>151</v>
      </c>
      <c r="AD359" s="46" t="s">
        <v>152</v>
      </c>
      <c r="AE359" s="46" t="s">
        <v>89</v>
      </c>
      <c r="AF359" s="46" t="s">
        <v>29</v>
      </c>
      <c r="AG359" s="103"/>
      <c r="AH359" s="52">
        <v>10590</v>
      </c>
      <c r="AI359" s="52">
        <v>10590</v>
      </c>
      <c r="AJ359" s="112">
        <v>100</v>
      </c>
      <c r="AK359" s="104">
        <v>200</v>
      </c>
      <c r="AL359" s="108">
        <v>100</v>
      </c>
      <c r="AM359" s="108"/>
      <c r="AN359" s="53">
        <f t="shared" si="185"/>
        <v>200</v>
      </c>
      <c r="AO359" s="53" t="s">
        <v>23</v>
      </c>
      <c r="AP359" s="108"/>
      <c r="AQ359" s="108"/>
      <c r="AR359" s="108"/>
      <c r="AS359" s="108"/>
      <c r="AT359" s="108"/>
      <c r="AU359" s="108"/>
      <c r="AV359" s="108"/>
      <c r="AW359" s="108"/>
      <c r="AX359" s="108"/>
      <c r="AY359" s="108"/>
      <c r="AZ359" s="108"/>
      <c r="BA359" s="108"/>
      <c r="BB359" s="108"/>
      <c r="BC359" s="108"/>
      <c r="BD359" s="108"/>
      <c r="BE359" s="108"/>
      <c r="BF359" s="108"/>
      <c r="BG359" s="108"/>
      <c r="BH359" s="108"/>
      <c r="BI359" s="108"/>
      <c r="BJ359" s="108"/>
      <c r="BK359" s="108"/>
      <c r="BL359" s="108"/>
      <c r="BM359" s="108"/>
      <c r="BN359" s="112"/>
      <c r="BO359" s="108"/>
      <c r="BP359" s="108"/>
      <c r="BQ359" s="108"/>
      <c r="BR359" s="108"/>
      <c r="BS359" s="54" t="s">
        <v>23</v>
      </c>
      <c r="BT359" s="45" t="str">
        <f t="shared" si="178"/>
        <v>No</v>
      </c>
      <c r="BU359" s="45" t="str">
        <f t="shared" si="179"/>
        <v>No</v>
      </c>
      <c r="BV359" s="45" t="str">
        <f t="shared" si="180"/>
        <v>No</v>
      </c>
      <c r="BW359" s="55">
        <v>70.427806302416002</v>
      </c>
      <c r="BX359" s="55"/>
      <c r="BY359" s="55">
        <v>66.792806302415997</v>
      </c>
      <c r="BZ359" s="55"/>
      <c r="CA359" s="45">
        <v>2008</v>
      </c>
      <c r="CB359" s="55">
        <f t="shared" si="187"/>
        <v>18.007754047068424</v>
      </c>
      <c r="CC359" s="46" t="s">
        <v>281</v>
      </c>
      <c r="CD359" s="46" t="s">
        <v>151</v>
      </c>
      <c r="CE359" s="46" t="s">
        <v>783</v>
      </c>
      <c r="CF359" s="46">
        <v>2</v>
      </c>
      <c r="CG359" s="46" t="str">
        <f t="shared" si="186"/>
        <v>Yes</v>
      </c>
      <c r="CH359" s="46" t="s">
        <v>35</v>
      </c>
      <c r="CI359" s="56">
        <v>25</v>
      </c>
      <c r="CJ359" s="46">
        <v>50</v>
      </c>
      <c r="CK359" s="46" t="s">
        <v>23</v>
      </c>
      <c r="CL359" s="49" t="s">
        <v>29</v>
      </c>
      <c r="CM359" s="50">
        <v>0</v>
      </c>
      <c r="CN359" s="50"/>
      <c r="CO359" s="50"/>
      <c r="CP359" s="46" t="s">
        <v>23</v>
      </c>
      <c r="CQ359" s="46" t="s">
        <v>24</v>
      </c>
      <c r="CR359" s="46">
        <v>11</v>
      </c>
      <c r="CS359" s="46" t="s">
        <v>854</v>
      </c>
      <c r="CT359" s="46" t="s">
        <v>856</v>
      </c>
      <c r="CU359" s="46" t="s">
        <v>29</v>
      </c>
      <c r="CV359" s="46" t="s">
        <v>23</v>
      </c>
      <c r="CW359" s="46" t="s">
        <v>23</v>
      </c>
      <c r="CX359" s="49" t="s">
        <v>927</v>
      </c>
      <c r="CY359" s="49" t="s">
        <v>295</v>
      </c>
      <c r="CZ359" s="49">
        <v>0</v>
      </c>
      <c r="DA359" s="49">
        <v>0</v>
      </c>
      <c r="DB359" s="64">
        <v>58808</v>
      </c>
      <c r="DC359" s="58">
        <v>24.11</v>
      </c>
      <c r="DD359" s="58">
        <v>4.04</v>
      </c>
      <c r="DE359" s="58">
        <v>13.69</v>
      </c>
      <c r="DF359" s="58">
        <v>55.279999999999994</v>
      </c>
      <c r="DG359" s="58">
        <v>2.8800000000000048</v>
      </c>
      <c r="DH359" s="58">
        <v>75.89</v>
      </c>
      <c r="DI359" s="45" t="s">
        <v>35</v>
      </c>
      <c r="DJ359" s="59" t="str">
        <f t="shared" si="188"/>
        <v>Asian</v>
      </c>
      <c r="DK359" s="65">
        <v>58808</v>
      </c>
      <c r="DL359" s="58">
        <v>24.11</v>
      </c>
      <c r="DM359" s="58">
        <v>4.04</v>
      </c>
      <c r="DN359" s="58">
        <v>13.69</v>
      </c>
      <c r="DO359" s="58">
        <v>75.89</v>
      </c>
      <c r="DP359" s="66">
        <v>49.35</v>
      </c>
      <c r="DQ359" s="67">
        <v>86210.57</v>
      </c>
      <c r="DR359" s="53">
        <v>10.8</v>
      </c>
      <c r="DS359" s="58">
        <v>71.3</v>
      </c>
      <c r="DT359" s="53">
        <v>60.2</v>
      </c>
      <c r="DU359" s="55">
        <v>3.05</v>
      </c>
      <c r="DV359" s="50">
        <v>34.799999999999997</v>
      </c>
      <c r="DW359" s="53">
        <v>82.4</v>
      </c>
      <c r="DX359" s="53">
        <v>80.59</v>
      </c>
      <c r="DY359" s="53">
        <v>63.732199999999999</v>
      </c>
      <c r="DZ359" s="63"/>
    </row>
    <row r="360" spans="1:130" s="5" customFormat="1" ht="14.25" hidden="1" customHeight="1">
      <c r="A360" s="45">
        <v>1307</v>
      </c>
      <c r="B360" s="46" t="s">
        <v>292</v>
      </c>
      <c r="C360" s="47">
        <v>2008</v>
      </c>
      <c r="D360" s="47" t="s">
        <v>100</v>
      </c>
      <c r="E360" s="71" t="s">
        <v>101</v>
      </c>
      <c r="F360" s="46">
        <v>4</v>
      </c>
      <c r="G360" s="48">
        <v>85000</v>
      </c>
      <c r="H360" s="46" t="s">
        <v>249</v>
      </c>
      <c r="I360" s="46">
        <v>1</v>
      </c>
      <c r="J360" s="47">
        <v>1</v>
      </c>
      <c r="K360" s="45" t="s">
        <v>304</v>
      </c>
      <c r="L360" s="45" t="s">
        <v>30</v>
      </c>
      <c r="M360" s="49" t="s">
        <v>29</v>
      </c>
      <c r="N360" s="49" t="s">
        <v>513</v>
      </c>
      <c r="O360" s="49"/>
      <c r="P360" s="45" t="s">
        <v>31</v>
      </c>
      <c r="Q360" s="49" t="s">
        <v>29</v>
      </c>
      <c r="R360" s="49">
        <v>0</v>
      </c>
      <c r="S360" s="50">
        <f t="shared" si="181"/>
        <v>0</v>
      </c>
      <c r="T360" s="49">
        <v>0</v>
      </c>
      <c r="U360" s="50">
        <f t="shared" si="182"/>
        <v>0</v>
      </c>
      <c r="V360" s="49"/>
      <c r="W360" s="49">
        <v>0</v>
      </c>
      <c r="X360" s="50">
        <f t="shared" si="183"/>
        <v>0</v>
      </c>
      <c r="Y360" s="51" t="str">
        <f t="shared" si="184"/>
        <v>No</v>
      </c>
      <c r="Z360" s="49" t="s">
        <v>29</v>
      </c>
      <c r="AA360" s="49" t="s">
        <v>29</v>
      </c>
      <c r="AB360" s="49" t="s">
        <v>29</v>
      </c>
      <c r="AC360" s="47" t="s">
        <v>151</v>
      </c>
      <c r="AD360" s="46" t="s">
        <v>152</v>
      </c>
      <c r="AE360" s="46" t="s">
        <v>89</v>
      </c>
      <c r="AF360" s="46" t="s">
        <v>29</v>
      </c>
      <c r="AG360" s="103"/>
      <c r="AH360" s="52">
        <v>10866</v>
      </c>
      <c r="AI360" s="52">
        <v>10866</v>
      </c>
      <c r="AJ360" s="112">
        <v>100</v>
      </c>
      <c r="AK360" s="104">
        <v>200</v>
      </c>
      <c r="AL360" s="108">
        <v>100</v>
      </c>
      <c r="AM360" s="108"/>
      <c r="AN360" s="53">
        <f t="shared" si="185"/>
        <v>200</v>
      </c>
      <c r="AO360" s="53" t="s">
        <v>23</v>
      </c>
      <c r="AP360" s="108"/>
      <c r="AQ360" s="108"/>
      <c r="AR360" s="108"/>
      <c r="AS360" s="108"/>
      <c r="AT360" s="108"/>
      <c r="AU360" s="108"/>
      <c r="AV360" s="108"/>
      <c r="AW360" s="108"/>
      <c r="AX360" s="108"/>
      <c r="AY360" s="108"/>
      <c r="AZ360" s="108"/>
      <c r="BA360" s="108"/>
      <c r="BB360" s="108"/>
      <c r="BC360" s="108"/>
      <c r="BD360" s="108"/>
      <c r="BE360" s="108"/>
      <c r="BF360" s="108"/>
      <c r="BG360" s="108"/>
      <c r="BH360" s="108"/>
      <c r="BI360" s="108"/>
      <c r="BJ360" s="108"/>
      <c r="BK360" s="108"/>
      <c r="BL360" s="108"/>
      <c r="BM360" s="108"/>
      <c r="BN360" s="112"/>
      <c r="BO360" s="108"/>
      <c r="BP360" s="108"/>
      <c r="BQ360" s="108"/>
      <c r="BR360" s="108"/>
      <c r="BS360" s="54" t="s">
        <v>23</v>
      </c>
      <c r="BT360" s="45" t="str">
        <f t="shared" si="178"/>
        <v>No</v>
      </c>
      <c r="BU360" s="45" t="str">
        <f t="shared" si="179"/>
        <v>No</v>
      </c>
      <c r="BV360" s="45" t="str">
        <f t="shared" si="180"/>
        <v>No</v>
      </c>
      <c r="BW360" s="55">
        <v>70.427806302416002</v>
      </c>
      <c r="BX360" s="55"/>
      <c r="BY360" s="55">
        <v>66.792806302415997</v>
      </c>
      <c r="BZ360" s="55"/>
      <c r="CA360" s="45">
        <v>2008</v>
      </c>
      <c r="CB360" s="55">
        <f t="shared" si="187"/>
        <v>17.267901980103613</v>
      </c>
      <c r="CC360" s="46" t="s">
        <v>281</v>
      </c>
      <c r="CD360" s="46" t="s">
        <v>151</v>
      </c>
      <c r="CE360" s="46" t="s">
        <v>783</v>
      </c>
      <c r="CF360" s="46">
        <v>2</v>
      </c>
      <c r="CG360" s="46" t="str">
        <f t="shared" si="186"/>
        <v>Yes</v>
      </c>
      <c r="CH360" s="46" t="s">
        <v>35</v>
      </c>
      <c r="CI360" s="56">
        <v>25</v>
      </c>
      <c r="CJ360" s="46">
        <v>50</v>
      </c>
      <c r="CK360" s="46" t="s">
        <v>23</v>
      </c>
      <c r="CL360" s="49" t="s">
        <v>29</v>
      </c>
      <c r="CM360" s="50">
        <v>0</v>
      </c>
      <c r="CN360" s="50"/>
      <c r="CO360" s="50"/>
      <c r="CP360" s="46" t="s">
        <v>23</v>
      </c>
      <c r="CQ360" s="46" t="s">
        <v>24</v>
      </c>
      <c r="CR360" s="46">
        <v>11</v>
      </c>
      <c r="CS360" s="46" t="s">
        <v>854</v>
      </c>
      <c r="CT360" s="46" t="s">
        <v>856</v>
      </c>
      <c r="CU360" s="46" t="s">
        <v>29</v>
      </c>
      <c r="CV360" s="46" t="s">
        <v>23</v>
      </c>
      <c r="CW360" s="46" t="s">
        <v>23</v>
      </c>
      <c r="CX360" s="49" t="s">
        <v>927</v>
      </c>
      <c r="CY360" s="49" t="s">
        <v>295</v>
      </c>
      <c r="CZ360" s="49">
        <v>0</v>
      </c>
      <c r="DA360" s="49">
        <v>0</v>
      </c>
      <c r="DB360" s="64">
        <v>62926</v>
      </c>
      <c r="DC360" s="58">
        <v>59.040000000000006</v>
      </c>
      <c r="DD360" s="58">
        <v>3.93</v>
      </c>
      <c r="DE360" s="58">
        <v>21.91</v>
      </c>
      <c r="DF360" s="58">
        <v>12.659999999999998</v>
      </c>
      <c r="DG360" s="58">
        <v>2.4695674284079714</v>
      </c>
      <c r="DH360" s="58">
        <v>40.959999999999994</v>
      </c>
      <c r="DI360" s="45" t="s">
        <v>29</v>
      </c>
      <c r="DJ360" s="59" t="str">
        <f t="shared" si="188"/>
        <v>N/A</v>
      </c>
      <c r="DK360" s="65">
        <v>62926</v>
      </c>
      <c r="DL360" s="58">
        <v>59.040000000000006</v>
      </c>
      <c r="DM360" s="58">
        <v>3.93</v>
      </c>
      <c r="DN360" s="58">
        <v>21.91</v>
      </c>
      <c r="DO360" s="58">
        <v>40.959999999999994</v>
      </c>
      <c r="DP360" s="66">
        <v>49.35</v>
      </c>
      <c r="DQ360" s="67">
        <v>86210.57</v>
      </c>
      <c r="DR360" s="53">
        <v>10.8</v>
      </c>
      <c r="DS360" s="58">
        <v>71.3</v>
      </c>
      <c r="DT360" s="53">
        <v>60.2</v>
      </c>
      <c r="DU360" s="55">
        <v>3.05</v>
      </c>
      <c r="DV360" s="50">
        <v>34.799999999999997</v>
      </c>
      <c r="DW360" s="53">
        <v>82.4</v>
      </c>
      <c r="DX360" s="53">
        <v>80.59</v>
      </c>
      <c r="DY360" s="53">
        <v>63.732199999999999</v>
      </c>
      <c r="DZ360" s="63"/>
    </row>
    <row r="361" spans="1:130" s="5" customFormat="1" ht="14.25" hidden="1" customHeight="1">
      <c r="A361" s="45">
        <v>1308</v>
      </c>
      <c r="B361" s="46" t="s">
        <v>292</v>
      </c>
      <c r="C361" s="47">
        <v>2008</v>
      </c>
      <c r="D361" s="47" t="s">
        <v>85</v>
      </c>
      <c r="E361" s="71" t="s">
        <v>86</v>
      </c>
      <c r="F361" s="46">
        <v>4</v>
      </c>
      <c r="G361" s="48">
        <v>85000</v>
      </c>
      <c r="H361" s="46" t="s">
        <v>249</v>
      </c>
      <c r="I361" s="46">
        <v>1</v>
      </c>
      <c r="J361" s="47">
        <v>8</v>
      </c>
      <c r="K361" s="45" t="s">
        <v>305</v>
      </c>
      <c r="L361" s="45" t="s">
        <v>40</v>
      </c>
      <c r="M361" s="49" t="s">
        <v>35</v>
      </c>
      <c r="N361" s="49" t="s">
        <v>512</v>
      </c>
      <c r="O361" s="49"/>
      <c r="P361" s="45" t="s">
        <v>31</v>
      </c>
      <c r="Q361" s="49" t="s">
        <v>29</v>
      </c>
      <c r="R361" s="49">
        <v>2</v>
      </c>
      <c r="S361" s="50">
        <f t="shared" si="181"/>
        <v>25</v>
      </c>
      <c r="T361" s="49">
        <v>5</v>
      </c>
      <c r="U361" s="50">
        <f t="shared" si="182"/>
        <v>62.5</v>
      </c>
      <c r="V361" s="49" t="s">
        <v>886</v>
      </c>
      <c r="W361" s="45"/>
      <c r="X361" s="50">
        <f t="shared" si="183"/>
        <v>0</v>
      </c>
      <c r="Y361" s="51" t="str">
        <f t="shared" si="184"/>
        <v>No</v>
      </c>
      <c r="Z361" s="49" t="s">
        <v>35</v>
      </c>
      <c r="AA361" s="49" t="s">
        <v>23</v>
      </c>
      <c r="AB361" s="49" t="s">
        <v>23</v>
      </c>
      <c r="AC361" s="47" t="s">
        <v>26</v>
      </c>
      <c r="AD361" s="46" t="s">
        <v>27</v>
      </c>
      <c r="AE361" s="46" t="s">
        <v>89</v>
      </c>
      <c r="AF361" s="46" t="s">
        <v>29</v>
      </c>
      <c r="AG361" s="103">
        <v>38287</v>
      </c>
      <c r="AH361" s="52">
        <v>14222</v>
      </c>
      <c r="AI361" s="52">
        <v>33508</v>
      </c>
      <c r="AJ361" s="108">
        <v>23.29</v>
      </c>
      <c r="AK361" s="104">
        <v>46.58</v>
      </c>
      <c r="AL361" s="108">
        <v>51.88</v>
      </c>
      <c r="AM361" s="108"/>
      <c r="AN361" s="53">
        <f t="shared" si="185"/>
        <v>103.76</v>
      </c>
      <c r="AO361" s="53">
        <v>20.77</v>
      </c>
      <c r="AP361" s="108">
        <v>4779</v>
      </c>
      <c r="AQ361" s="108">
        <v>12.482043513464101</v>
      </c>
      <c r="AR361" s="108"/>
      <c r="AS361" s="108"/>
      <c r="AT361" s="108"/>
      <c r="AU361" s="108"/>
      <c r="AV361" s="108"/>
      <c r="AW361" s="108"/>
      <c r="AX361" s="108"/>
      <c r="AY361" s="108"/>
      <c r="AZ361" s="108"/>
      <c r="BA361" s="108"/>
      <c r="BB361" s="108"/>
      <c r="BC361" s="108"/>
      <c r="BD361" s="108"/>
      <c r="BE361" s="108"/>
      <c r="BF361" s="108"/>
      <c r="BG361" s="108"/>
      <c r="BH361" s="108"/>
      <c r="BI361" s="108"/>
      <c r="BJ361" s="108"/>
      <c r="BK361" s="108"/>
      <c r="BL361" s="108"/>
      <c r="BM361" s="108"/>
      <c r="BN361" s="108"/>
      <c r="BO361" s="108"/>
      <c r="BP361" s="108"/>
      <c r="BQ361" s="108"/>
      <c r="BR361" s="108"/>
      <c r="BS361" s="54" t="s">
        <v>29</v>
      </c>
      <c r="BT361" s="45" t="str">
        <f t="shared" si="178"/>
        <v>Yes</v>
      </c>
      <c r="BU361" s="45" t="str">
        <f t="shared" si="179"/>
        <v>Yes</v>
      </c>
      <c r="BV361" s="45" t="str">
        <f t="shared" si="180"/>
        <v>Yes</v>
      </c>
      <c r="BW361" s="55">
        <v>70.427806302416002</v>
      </c>
      <c r="BX361" s="55"/>
      <c r="BY361" s="55">
        <v>66.792806302415997</v>
      </c>
      <c r="BZ361" s="55"/>
      <c r="CA361" s="45">
        <v>2008</v>
      </c>
      <c r="CB361" s="55">
        <f t="shared" si="187"/>
        <v>52.563217669573945</v>
      </c>
      <c r="CC361" s="46" t="s">
        <v>281</v>
      </c>
      <c r="CD361" s="46" t="s">
        <v>151</v>
      </c>
      <c r="CE361" s="46" t="s">
        <v>783</v>
      </c>
      <c r="CF361" s="46">
        <v>2</v>
      </c>
      <c r="CG361" s="46" t="str">
        <f t="shared" si="186"/>
        <v>Yes</v>
      </c>
      <c r="CH361" s="46" t="s">
        <v>35</v>
      </c>
      <c r="CI361" s="56">
        <v>25</v>
      </c>
      <c r="CJ361" s="46">
        <v>50</v>
      </c>
      <c r="CK361" s="46" t="s">
        <v>23</v>
      </c>
      <c r="CL361" s="49" t="s">
        <v>29</v>
      </c>
      <c r="CM361" s="50">
        <v>0</v>
      </c>
      <c r="CN361" s="50"/>
      <c r="CO361" s="50"/>
      <c r="CP361" s="46" t="s">
        <v>23</v>
      </c>
      <c r="CQ361" s="46" t="s">
        <v>24</v>
      </c>
      <c r="CR361" s="46">
        <v>11</v>
      </c>
      <c r="CS361" s="46" t="s">
        <v>854</v>
      </c>
      <c r="CT361" s="46" t="s">
        <v>856</v>
      </c>
      <c r="CU361" s="46" t="s">
        <v>29</v>
      </c>
      <c r="CV361" s="46" t="s">
        <v>23</v>
      </c>
      <c r="CW361" s="46" t="s">
        <v>23</v>
      </c>
      <c r="CX361" s="49" t="s">
        <v>927</v>
      </c>
      <c r="CY361" s="49" t="s">
        <v>295</v>
      </c>
      <c r="CZ361" s="49">
        <v>0</v>
      </c>
      <c r="DA361" s="49">
        <v>0</v>
      </c>
      <c r="DB361" s="64">
        <v>63748</v>
      </c>
      <c r="DC361" s="58">
        <v>23.11</v>
      </c>
      <c r="DD361" s="58">
        <v>2.6100000000000003</v>
      </c>
      <c r="DE361" s="58">
        <v>21.029999999999998</v>
      </c>
      <c r="DF361" s="58">
        <v>51.12</v>
      </c>
      <c r="DG361" s="58">
        <v>2.1020267302503606</v>
      </c>
      <c r="DH361" s="58">
        <v>76.89</v>
      </c>
      <c r="DI361" s="45" t="s">
        <v>35</v>
      </c>
      <c r="DJ361" s="59" t="str">
        <f t="shared" si="188"/>
        <v>Asian</v>
      </c>
      <c r="DK361" s="65">
        <v>63748</v>
      </c>
      <c r="DL361" s="58">
        <v>23.11</v>
      </c>
      <c r="DM361" s="58">
        <v>2.6100000000000003</v>
      </c>
      <c r="DN361" s="58">
        <v>21.029999999999998</v>
      </c>
      <c r="DO361" s="58">
        <v>76.89</v>
      </c>
      <c r="DP361" s="66">
        <v>49.35</v>
      </c>
      <c r="DQ361" s="67">
        <v>86210.57</v>
      </c>
      <c r="DR361" s="53">
        <v>10.8</v>
      </c>
      <c r="DS361" s="58">
        <v>71.3</v>
      </c>
      <c r="DT361" s="53">
        <v>60.2</v>
      </c>
      <c r="DU361" s="55">
        <v>3.05</v>
      </c>
      <c r="DV361" s="50">
        <v>34.799999999999997</v>
      </c>
      <c r="DW361" s="53">
        <v>82.4</v>
      </c>
      <c r="DX361" s="53">
        <v>80.59</v>
      </c>
      <c r="DY361" s="53">
        <v>63.732199999999999</v>
      </c>
      <c r="DZ361" s="63"/>
    </row>
    <row r="362" spans="1:130" s="5" customFormat="1" ht="14.25" hidden="1" customHeight="1">
      <c r="A362" s="45">
        <v>1300</v>
      </c>
      <c r="B362" s="46" t="s">
        <v>292</v>
      </c>
      <c r="C362" s="47">
        <v>2010</v>
      </c>
      <c r="D362" s="47" t="s">
        <v>76</v>
      </c>
      <c r="E362" s="46" t="s">
        <v>77</v>
      </c>
      <c r="F362" s="46">
        <v>4</v>
      </c>
      <c r="G362" s="48">
        <v>85000</v>
      </c>
      <c r="H362" s="46" t="s">
        <v>249</v>
      </c>
      <c r="I362" s="46">
        <v>1</v>
      </c>
      <c r="J362" s="47">
        <v>3</v>
      </c>
      <c r="K362" s="45" t="s">
        <v>309</v>
      </c>
      <c r="L362" s="45" t="s">
        <v>30</v>
      </c>
      <c r="M362" s="49" t="s">
        <v>29</v>
      </c>
      <c r="N362" s="49" t="s">
        <v>513</v>
      </c>
      <c r="O362" s="49"/>
      <c r="P362" s="45" t="s">
        <v>31</v>
      </c>
      <c r="Q362" s="49" t="s">
        <v>29</v>
      </c>
      <c r="R362" s="49">
        <v>0</v>
      </c>
      <c r="S362" s="50">
        <f t="shared" si="181"/>
        <v>0</v>
      </c>
      <c r="T362" s="49">
        <v>0</v>
      </c>
      <c r="U362" s="50">
        <f t="shared" si="182"/>
        <v>0</v>
      </c>
      <c r="V362" s="49"/>
      <c r="W362" s="49">
        <v>0</v>
      </c>
      <c r="X362" s="50">
        <f t="shared" si="183"/>
        <v>0</v>
      </c>
      <c r="Y362" s="51" t="str">
        <f t="shared" si="184"/>
        <v>No</v>
      </c>
      <c r="Z362" s="49" t="s">
        <v>29</v>
      </c>
      <c r="AA362" s="49" t="s">
        <v>29</v>
      </c>
      <c r="AB362" s="49" t="s">
        <v>29</v>
      </c>
      <c r="AC362" s="46" t="s">
        <v>151</v>
      </c>
      <c r="AD362" s="46" t="s">
        <v>152</v>
      </c>
      <c r="AE362" s="46" t="s">
        <v>73</v>
      </c>
      <c r="AF362" s="46" t="s">
        <v>29</v>
      </c>
      <c r="AG362" s="103"/>
      <c r="AH362" s="52">
        <v>12016</v>
      </c>
      <c r="AI362" s="52">
        <v>12016</v>
      </c>
      <c r="AJ362" s="108">
        <v>66.31</v>
      </c>
      <c r="AK362" s="104">
        <v>132.62</v>
      </c>
      <c r="AL362" s="108">
        <v>66.31</v>
      </c>
      <c r="AM362" s="108"/>
      <c r="AN362" s="53">
        <f t="shared" si="185"/>
        <v>132.62</v>
      </c>
      <c r="AO362" s="53">
        <v>20.3</v>
      </c>
      <c r="AP362" s="108"/>
      <c r="AQ362" s="108"/>
      <c r="AR362" s="108"/>
      <c r="AS362" s="108"/>
      <c r="AT362" s="108"/>
      <c r="AU362" s="108"/>
      <c r="AV362" s="108"/>
      <c r="AW362" s="108"/>
      <c r="AX362" s="108"/>
      <c r="AY362" s="108"/>
      <c r="AZ362" s="108"/>
      <c r="BA362" s="108"/>
      <c r="BB362" s="108"/>
      <c r="BC362" s="108"/>
      <c r="BD362" s="108"/>
      <c r="BE362" s="108"/>
      <c r="BF362" s="108"/>
      <c r="BG362" s="108"/>
      <c r="BH362" s="108"/>
      <c r="BI362" s="108"/>
      <c r="BJ362" s="108"/>
      <c r="BK362" s="108"/>
      <c r="BL362" s="108"/>
      <c r="BM362" s="108"/>
      <c r="BN362" s="108"/>
      <c r="BO362" s="108"/>
      <c r="BP362" s="108"/>
      <c r="BQ362" s="108"/>
      <c r="BR362" s="108"/>
      <c r="BS362" s="54" t="s">
        <v>29</v>
      </c>
      <c r="BT362" s="45" t="str">
        <f t="shared" si="178"/>
        <v>No</v>
      </c>
      <c r="BU362" s="45" t="str">
        <f t="shared" si="179"/>
        <v>No</v>
      </c>
      <c r="BV362" s="45" t="str">
        <f t="shared" si="180"/>
        <v>No</v>
      </c>
      <c r="BW362" s="55">
        <v>70.427806302416002</v>
      </c>
      <c r="BX362" s="55"/>
      <c r="BY362" s="55">
        <v>66.792806302415997</v>
      </c>
      <c r="BZ362" s="55"/>
      <c r="CA362" s="45">
        <v>2008</v>
      </c>
      <c r="CB362" s="55">
        <f t="shared" si="187"/>
        <v>24.539476371359719</v>
      </c>
      <c r="CC362" s="46" t="s">
        <v>281</v>
      </c>
      <c r="CD362" s="46" t="s">
        <v>151</v>
      </c>
      <c r="CE362" s="46" t="s">
        <v>783</v>
      </c>
      <c r="CF362" s="46">
        <v>2</v>
      </c>
      <c r="CG362" s="46" t="str">
        <f t="shared" si="186"/>
        <v>Yes</v>
      </c>
      <c r="CH362" s="46" t="s">
        <v>35</v>
      </c>
      <c r="CI362" s="56">
        <v>25</v>
      </c>
      <c r="CJ362" s="46">
        <v>50</v>
      </c>
      <c r="CK362" s="46" t="s">
        <v>23</v>
      </c>
      <c r="CL362" s="49" t="s">
        <v>29</v>
      </c>
      <c r="CM362" s="50">
        <v>0</v>
      </c>
      <c r="CN362" s="50"/>
      <c r="CO362" s="50"/>
      <c r="CP362" s="46" t="s">
        <v>23</v>
      </c>
      <c r="CQ362" s="46" t="s">
        <v>24</v>
      </c>
      <c r="CR362" s="46">
        <v>11</v>
      </c>
      <c r="CS362" s="46" t="s">
        <v>854</v>
      </c>
      <c r="CT362" s="46" t="s">
        <v>856</v>
      </c>
      <c r="CU362" s="46" t="s">
        <v>29</v>
      </c>
      <c r="CV362" s="46" t="s">
        <v>23</v>
      </c>
      <c r="CW362" s="46" t="s">
        <v>23</v>
      </c>
      <c r="CX362" s="49" t="s">
        <v>927</v>
      </c>
      <c r="CY362" s="49" t="s">
        <v>295</v>
      </c>
      <c r="CZ362" s="49">
        <v>0</v>
      </c>
      <c r="DA362" s="49">
        <v>0</v>
      </c>
      <c r="DB362" s="64">
        <v>48966</v>
      </c>
      <c r="DC362" s="58">
        <v>48.120000000000005</v>
      </c>
      <c r="DD362" s="58">
        <v>3.2099999999999995</v>
      </c>
      <c r="DE362" s="58">
        <v>11.98</v>
      </c>
      <c r="DF362" s="58">
        <v>34</v>
      </c>
      <c r="DG362" s="58">
        <v>2.6773679696115673</v>
      </c>
      <c r="DH362" s="58">
        <v>51.879999999999995</v>
      </c>
      <c r="DI362" s="45" t="s">
        <v>35</v>
      </c>
      <c r="DJ362" s="59" t="str">
        <f t="shared" si="188"/>
        <v>No single majority group</v>
      </c>
      <c r="DK362" s="65">
        <v>48966</v>
      </c>
      <c r="DL362" s="58">
        <v>48.120000000000005</v>
      </c>
      <c r="DM362" s="58">
        <v>3.2099999999999995</v>
      </c>
      <c r="DN362" s="58">
        <v>11.98</v>
      </c>
      <c r="DO362" s="58">
        <v>51.879999999999995</v>
      </c>
      <c r="DP362" s="66">
        <v>49.65</v>
      </c>
      <c r="DQ362" s="67">
        <v>83878.5</v>
      </c>
      <c r="DR362" s="53">
        <v>11.7</v>
      </c>
      <c r="DS362" s="58">
        <v>72.900000000000006</v>
      </c>
      <c r="DT362" s="53">
        <v>58.7</v>
      </c>
      <c r="DU362" s="105">
        <v>3.1</v>
      </c>
      <c r="DV362" s="102">
        <v>35.200000000000003</v>
      </c>
      <c r="DW362" s="53">
        <v>82.4</v>
      </c>
      <c r="DX362" s="53">
        <v>81.92</v>
      </c>
      <c r="DY362" s="53">
        <v>52.210099999999997</v>
      </c>
      <c r="DZ362" s="63"/>
    </row>
    <row r="363" spans="1:130" s="5" customFormat="1" ht="14.25" hidden="1" customHeight="1">
      <c r="A363" s="45">
        <v>1301</v>
      </c>
      <c r="B363" s="46" t="s">
        <v>292</v>
      </c>
      <c r="C363" s="47">
        <v>2010</v>
      </c>
      <c r="D363" s="47" t="s">
        <v>94</v>
      </c>
      <c r="E363" s="46" t="s">
        <v>95</v>
      </c>
      <c r="F363" s="46">
        <v>4</v>
      </c>
      <c r="G363" s="48">
        <v>85000</v>
      </c>
      <c r="H363" s="46" t="s">
        <v>249</v>
      </c>
      <c r="I363" s="46">
        <v>1</v>
      </c>
      <c r="J363" s="47">
        <v>2</v>
      </c>
      <c r="K363" s="45" t="s">
        <v>293</v>
      </c>
      <c r="L363" s="45" t="s">
        <v>30</v>
      </c>
      <c r="M363" s="49" t="s">
        <v>29</v>
      </c>
      <c r="N363" s="49" t="s">
        <v>513</v>
      </c>
      <c r="O363" s="49"/>
      <c r="P363" s="45" t="s">
        <v>31</v>
      </c>
      <c r="Q363" s="49" t="s">
        <v>29</v>
      </c>
      <c r="R363" s="49">
        <v>0</v>
      </c>
      <c r="S363" s="50">
        <f t="shared" si="181"/>
        <v>0</v>
      </c>
      <c r="T363" s="49">
        <v>0</v>
      </c>
      <c r="U363" s="50">
        <f t="shared" si="182"/>
        <v>0</v>
      </c>
      <c r="V363" s="49"/>
      <c r="W363" s="49">
        <v>0</v>
      </c>
      <c r="X363" s="50">
        <f t="shared" si="183"/>
        <v>0</v>
      </c>
      <c r="Y363" s="51" t="str">
        <f t="shared" si="184"/>
        <v>No</v>
      </c>
      <c r="Z363" s="49" t="s">
        <v>29</v>
      </c>
      <c r="AA363" s="49" t="s">
        <v>29</v>
      </c>
      <c r="AB363" s="49" t="s">
        <v>29</v>
      </c>
      <c r="AC363" s="46" t="s">
        <v>151</v>
      </c>
      <c r="AD363" s="46" t="s">
        <v>152</v>
      </c>
      <c r="AE363" s="46" t="s">
        <v>73</v>
      </c>
      <c r="AF363" s="46" t="s">
        <v>29</v>
      </c>
      <c r="AG363" s="103"/>
      <c r="AH363" s="52">
        <v>7866</v>
      </c>
      <c r="AI363" s="52">
        <v>7866</v>
      </c>
      <c r="AJ363" s="108">
        <v>80.16</v>
      </c>
      <c r="AK363" s="104">
        <v>160.32</v>
      </c>
      <c r="AL363" s="108">
        <v>80.16</v>
      </c>
      <c r="AM363" s="108"/>
      <c r="AN363" s="53">
        <f t="shared" si="185"/>
        <v>160.32</v>
      </c>
      <c r="AO363" s="53">
        <v>19.84</v>
      </c>
      <c r="AP363" s="101"/>
      <c r="AQ363" s="101"/>
      <c r="AR363" s="108"/>
      <c r="AS363" s="108"/>
      <c r="AT363" s="108"/>
      <c r="AU363" s="108"/>
      <c r="AV363" s="108"/>
      <c r="AW363" s="108"/>
      <c r="AX363" s="108"/>
      <c r="AY363" s="108"/>
      <c r="AZ363" s="108"/>
      <c r="BA363" s="108"/>
      <c r="BB363" s="108"/>
      <c r="BC363" s="108"/>
      <c r="BD363" s="108"/>
      <c r="BE363" s="108"/>
      <c r="BF363" s="108"/>
      <c r="BG363" s="108"/>
      <c r="BH363" s="108"/>
      <c r="BI363" s="108"/>
      <c r="BJ363" s="108"/>
      <c r="BK363" s="108"/>
      <c r="BL363" s="108"/>
      <c r="BM363" s="108"/>
      <c r="BN363" s="108"/>
      <c r="BO363" s="108"/>
      <c r="BP363" s="108"/>
      <c r="BQ363" s="108"/>
      <c r="BR363" s="108"/>
      <c r="BS363" s="54" t="s">
        <v>29</v>
      </c>
      <c r="BT363" s="45" t="str">
        <f t="shared" si="178"/>
        <v>No</v>
      </c>
      <c r="BU363" s="45" t="str">
        <f t="shared" si="179"/>
        <v>No</v>
      </c>
      <c r="BV363" s="45" t="str">
        <f t="shared" si="180"/>
        <v>No</v>
      </c>
      <c r="BW363" s="55">
        <v>70.427806302416002</v>
      </c>
      <c r="BX363" s="55"/>
      <c r="BY363" s="55">
        <v>66.792806302415997</v>
      </c>
      <c r="BZ363" s="55"/>
      <c r="CA363" s="45">
        <v>2008</v>
      </c>
      <c r="CB363" s="55">
        <f t="shared" si="187"/>
        <v>13.456044613989771</v>
      </c>
      <c r="CC363" s="46" t="s">
        <v>281</v>
      </c>
      <c r="CD363" s="46" t="s">
        <v>151</v>
      </c>
      <c r="CE363" s="46" t="s">
        <v>783</v>
      </c>
      <c r="CF363" s="46">
        <v>2</v>
      </c>
      <c r="CG363" s="46" t="str">
        <f t="shared" si="186"/>
        <v>Yes</v>
      </c>
      <c r="CH363" s="46" t="s">
        <v>35</v>
      </c>
      <c r="CI363" s="56">
        <v>25</v>
      </c>
      <c r="CJ363" s="46">
        <v>50</v>
      </c>
      <c r="CK363" s="46" t="s">
        <v>23</v>
      </c>
      <c r="CL363" s="49" t="s">
        <v>29</v>
      </c>
      <c r="CM363" s="50">
        <v>0</v>
      </c>
      <c r="CN363" s="50"/>
      <c r="CO363" s="50"/>
      <c r="CP363" s="46" t="s">
        <v>23</v>
      </c>
      <c r="CQ363" s="46" t="s">
        <v>24</v>
      </c>
      <c r="CR363" s="46">
        <v>11</v>
      </c>
      <c r="CS363" s="46" t="s">
        <v>854</v>
      </c>
      <c r="CT363" s="46" t="s">
        <v>856</v>
      </c>
      <c r="CU363" s="46" t="s">
        <v>29</v>
      </c>
      <c r="CV363" s="46" t="s">
        <v>23</v>
      </c>
      <c r="CW363" s="46" t="s">
        <v>23</v>
      </c>
      <c r="CX363" s="49" t="s">
        <v>927</v>
      </c>
      <c r="CY363" s="49" t="s">
        <v>295</v>
      </c>
      <c r="CZ363" s="49">
        <v>0</v>
      </c>
      <c r="DA363" s="49">
        <v>0</v>
      </c>
      <c r="DB363" s="64">
        <v>58457</v>
      </c>
      <c r="DC363" s="58">
        <v>44.78</v>
      </c>
      <c r="DD363" s="58">
        <v>3.71</v>
      </c>
      <c r="DE363" s="58">
        <v>26.91</v>
      </c>
      <c r="DF363" s="58">
        <v>21.52</v>
      </c>
      <c r="DG363" s="58">
        <v>3.0740544331731017</v>
      </c>
      <c r="DH363" s="58">
        <v>55.22</v>
      </c>
      <c r="DI363" s="45" t="s">
        <v>35</v>
      </c>
      <c r="DJ363" s="59" t="str">
        <f t="shared" si="188"/>
        <v>No single majority group</v>
      </c>
      <c r="DK363" s="65">
        <v>58457</v>
      </c>
      <c r="DL363" s="58">
        <v>44.78</v>
      </c>
      <c r="DM363" s="58">
        <v>3.71</v>
      </c>
      <c r="DN363" s="58">
        <v>26.91</v>
      </c>
      <c r="DO363" s="58">
        <v>55.22</v>
      </c>
      <c r="DP363" s="66">
        <v>49.65</v>
      </c>
      <c r="DQ363" s="67">
        <v>83878.5</v>
      </c>
      <c r="DR363" s="53">
        <v>11.7</v>
      </c>
      <c r="DS363" s="58">
        <v>72.900000000000006</v>
      </c>
      <c r="DT363" s="53">
        <v>58.7</v>
      </c>
      <c r="DU363" s="55">
        <v>3.1</v>
      </c>
      <c r="DV363" s="50">
        <v>35.200000000000003</v>
      </c>
      <c r="DW363" s="53">
        <v>82.4</v>
      </c>
      <c r="DX363" s="53">
        <v>81.92</v>
      </c>
      <c r="DY363" s="53">
        <v>52.210099999999997</v>
      </c>
      <c r="DZ363" s="63"/>
    </row>
    <row r="364" spans="1:130" s="5" customFormat="1" ht="14.25" hidden="1" customHeight="1">
      <c r="A364" s="45">
        <v>1302</v>
      </c>
      <c r="B364" s="46" t="s">
        <v>292</v>
      </c>
      <c r="C364" s="47">
        <v>2010</v>
      </c>
      <c r="D364" s="47" t="s">
        <v>97</v>
      </c>
      <c r="E364" s="46" t="s">
        <v>98</v>
      </c>
      <c r="F364" s="46">
        <v>4</v>
      </c>
      <c r="G364" s="48">
        <v>85000</v>
      </c>
      <c r="H364" s="46" t="s">
        <v>249</v>
      </c>
      <c r="I364" s="46">
        <v>1</v>
      </c>
      <c r="J364" s="47">
        <v>4</v>
      </c>
      <c r="K364" s="45" t="s">
        <v>310</v>
      </c>
      <c r="L364" s="45" t="s">
        <v>30</v>
      </c>
      <c r="M364" s="49" t="s">
        <v>29</v>
      </c>
      <c r="N364" s="49" t="s">
        <v>512</v>
      </c>
      <c r="O364" s="49"/>
      <c r="P364" s="45" t="s">
        <v>857</v>
      </c>
      <c r="Q364" s="49" t="s">
        <v>35</v>
      </c>
      <c r="R364" s="49">
        <v>0</v>
      </c>
      <c r="S364" s="50">
        <f t="shared" si="181"/>
        <v>0</v>
      </c>
      <c r="T364" s="49">
        <v>4</v>
      </c>
      <c r="U364" s="50">
        <f t="shared" si="182"/>
        <v>100</v>
      </c>
      <c r="V364" s="49" t="s">
        <v>792</v>
      </c>
      <c r="W364" s="49">
        <v>1</v>
      </c>
      <c r="X364" s="50">
        <f t="shared" si="183"/>
        <v>25</v>
      </c>
      <c r="Y364" s="51" t="str">
        <f t="shared" si="184"/>
        <v>No</v>
      </c>
      <c r="Z364" s="49" t="s">
        <v>35</v>
      </c>
      <c r="AA364" s="49" t="s">
        <v>23</v>
      </c>
      <c r="AB364" s="49" t="s">
        <v>23</v>
      </c>
      <c r="AC364" s="47" t="s">
        <v>26</v>
      </c>
      <c r="AD364" s="46" t="s">
        <v>27</v>
      </c>
      <c r="AE364" s="46" t="s">
        <v>73</v>
      </c>
      <c r="AF364" s="46" t="s">
        <v>29</v>
      </c>
      <c r="AG364" s="103">
        <v>14644</v>
      </c>
      <c r="AH364" s="52">
        <v>7876</v>
      </c>
      <c r="AI364" s="52">
        <v>10065</v>
      </c>
      <c r="AJ364" s="108">
        <v>35.44</v>
      </c>
      <c r="AK364" s="104">
        <v>70.88</v>
      </c>
      <c r="AL364" s="108">
        <v>51.84</v>
      </c>
      <c r="AM364" s="108"/>
      <c r="AN364" s="53">
        <f t="shared" si="185"/>
        <v>103.68</v>
      </c>
      <c r="AO364" s="53">
        <v>35.18</v>
      </c>
      <c r="AP364" s="108">
        <v>4579</v>
      </c>
      <c r="AQ364" s="108">
        <v>31.268779022125102</v>
      </c>
      <c r="AR364" s="108"/>
      <c r="AS364" s="108"/>
      <c r="AT364" s="108"/>
      <c r="AU364" s="108"/>
      <c r="AV364" s="108"/>
      <c r="AW364" s="108"/>
      <c r="AX364" s="108"/>
      <c r="AY364" s="108"/>
      <c r="AZ364" s="108"/>
      <c r="BA364" s="108"/>
      <c r="BB364" s="108"/>
      <c r="BC364" s="108"/>
      <c r="BD364" s="108"/>
      <c r="BE364" s="108"/>
      <c r="BF364" s="108"/>
      <c r="BG364" s="108"/>
      <c r="BH364" s="108"/>
      <c r="BI364" s="108"/>
      <c r="BJ364" s="108"/>
      <c r="BK364" s="108"/>
      <c r="BL364" s="108"/>
      <c r="BM364" s="108"/>
      <c r="BN364" s="108"/>
      <c r="BO364" s="108"/>
      <c r="BP364" s="108"/>
      <c r="BQ364" s="108"/>
      <c r="BR364" s="108"/>
      <c r="BS364" s="54" t="s">
        <v>29</v>
      </c>
      <c r="BT364" s="45" t="str">
        <f t="shared" si="178"/>
        <v>Yes</v>
      </c>
      <c r="BU364" s="45" t="str">
        <f t="shared" si="179"/>
        <v>Yes</v>
      </c>
      <c r="BV364" s="45" t="str">
        <f t="shared" si="180"/>
        <v>Yes</v>
      </c>
      <c r="BW364" s="55">
        <v>70.427806302416002</v>
      </c>
      <c r="BX364" s="55"/>
      <c r="BY364" s="55">
        <v>66.792806302415997</v>
      </c>
      <c r="BZ364" s="55"/>
      <c r="CA364" s="45">
        <v>2008</v>
      </c>
      <c r="CB364" s="55">
        <f t="shared" si="187"/>
        <v>17.045165879185085</v>
      </c>
      <c r="CC364" s="46" t="s">
        <v>281</v>
      </c>
      <c r="CD364" s="46" t="s">
        <v>151</v>
      </c>
      <c r="CE364" s="46" t="s">
        <v>783</v>
      </c>
      <c r="CF364" s="46">
        <v>2</v>
      </c>
      <c r="CG364" s="46" t="str">
        <f t="shared" si="186"/>
        <v>Yes</v>
      </c>
      <c r="CH364" s="46" t="s">
        <v>35</v>
      </c>
      <c r="CI364" s="56">
        <v>25</v>
      </c>
      <c r="CJ364" s="46">
        <v>50</v>
      </c>
      <c r="CK364" s="46" t="s">
        <v>23</v>
      </c>
      <c r="CL364" s="49" t="s">
        <v>29</v>
      </c>
      <c r="CM364" s="50">
        <v>0</v>
      </c>
      <c r="CN364" s="50"/>
      <c r="CO364" s="50"/>
      <c r="CP364" s="46" t="s">
        <v>23</v>
      </c>
      <c r="CQ364" s="46" t="s">
        <v>24</v>
      </c>
      <c r="CR364" s="46">
        <v>11</v>
      </c>
      <c r="CS364" s="46" t="s">
        <v>854</v>
      </c>
      <c r="CT364" s="46" t="s">
        <v>856</v>
      </c>
      <c r="CU364" s="46" t="s">
        <v>29</v>
      </c>
      <c r="CV364" s="46" t="s">
        <v>23</v>
      </c>
      <c r="CW364" s="46" t="s">
        <v>23</v>
      </c>
      <c r="CX364" s="49" t="s">
        <v>927</v>
      </c>
      <c r="CY364" s="49" t="s">
        <v>295</v>
      </c>
      <c r="CZ364" s="49">
        <v>0</v>
      </c>
      <c r="DA364" s="49">
        <v>0</v>
      </c>
      <c r="DB364" s="64">
        <v>59049</v>
      </c>
      <c r="DC364" s="58">
        <v>18</v>
      </c>
      <c r="DD364" s="58">
        <v>3.94</v>
      </c>
      <c r="DE364" s="58">
        <v>47.17</v>
      </c>
      <c r="DF364" s="58">
        <v>28.599999999999998</v>
      </c>
      <c r="DG364" s="58">
        <v>2.2980914156039898</v>
      </c>
      <c r="DH364" s="58">
        <v>82</v>
      </c>
      <c r="DI364" s="45" t="s">
        <v>35</v>
      </c>
      <c r="DJ364" s="59" t="str">
        <f t="shared" si="188"/>
        <v>No single majority group</v>
      </c>
      <c r="DK364" s="65">
        <v>59049</v>
      </c>
      <c r="DL364" s="58">
        <v>18</v>
      </c>
      <c r="DM364" s="58">
        <v>3.94</v>
      </c>
      <c r="DN364" s="58">
        <v>47.17</v>
      </c>
      <c r="DO364" s="58">
        <v>82</v>
      </c>
      <c r="DP364" s="66">
        <v>49.65</v>
      </c>
      <c r="DQ364" s="67">
        <v>83878.5</v>
      </c>
      <c r="DR364" s="53">
        <v>11.7</v>
      </c>
      <c r="DS364" s="58">
        <v>72.900000000000006</v>
      </c>
      <c r="DT364" s="53">
        <v>58.7</v>
      </c>
      <c r="DU364" s="55">
        <v>3.1</v>
      </c>
      <c r="DV364" s="50">
        <v>35.200000000000003</v>
      </c>
      <c r="DW364" s="53">
        <v>82.4</v>
      </c>
      <c r="DX364" s="53">
        <v>81.92</v>
      </c>
      <c r="DY364" s="53">
        <v>52.210099999999997</v>
      </c>
      <c r="DZ364" s="63"/>
    </row>
    <row r="365" spans="1:130" s="5" customFormat="1" ht="14.25" hidden="1" customHeight="1">
      <c r="A365" s="45">
        <v>1303</v>
      </c>
      <c r="B365" s="46" t="s">
        <v>292</v>
      </c>
      <c r="C365" s="47">
        <v>2010</v>
      </c>
      <c r="D365" s="47" t="s">
        <v>82</v>
      </c>
      <c r="E365" s="46" t="s">
        <v>83</v>
      </c>
      <c r="F365" s="46">
        <v>4</v>
      </c>
      <c r="G365" s="48">
        <v>85000</v>
      </c>
      <c r="H365" s="46" t="s">
        <v>249</v>
      </c>
      <c r="I365" s="46">
        <v>1</v>
      </c>
      <c r="J365" s="47">
        <v>5</v>
      </c>
      <c r="K365" s="45" t="s">
        <v>311</v>
      </c>
      <c r="L365" s="45" t="s">
        <v>40</v>
      </c>
      <c r="M365" s="49" t="s">
        <v>35</v>
      </c>
      <c r="N365" s="49" t="s">
        <v>513</v>
      </c>
      <c r="O365" s="49"/>
      <c r="P365" s="45" t="s">
        <v>34</v>
      </c>
      <c r="Q365" s="49" t="s">
        <v>35</v>
      </c>
      <c r="R365" s="49">
        <v>1</v>
      </c>
      <c r="S365" s="50">
        <f t="shared" si="181"/>
        <v>20</v>
      </c>
      <c r="T365" s="49">
        <v>3</v>
      </c>
      <c r="U365" s="50">
        <f t="shared" si="182"/>
        <v>60</v>
      </c>
      <c r="V365" s="49" t="s">
        <v>779</v>
      </c>
      <c r="W365" s="49">
        <v>1</v>
      </c>
      <c r="X365" s="50">
        <f t="shared" si="183"/>
        <v>20</v>
      </c>
      <c r="Y365" s="51" t="str">
        <f t="shared" si="184"/>
        <v>Yes</v>
      </c>
      <c r="Z365" s="49" t="s">
        <v>29</v>
      </c>
      <c r="AA365" s="49" t="s">
        <v>35</v>
      </c>
      <c r="AB365" s="45" t="s">
        <v>35</v>
      </c>
      <c r="AC365" s="47" t="s">
        <v>26</v>
      </c>
      <c r="AD365" s="46" t="s">
        <v>27</v>
      </c>
      <c r="AE365" s="46" t="s">
        <v>73</v>
      </c>
      <c r="AF365" s="46" t="s">
        <v>29</v>
      </c>
      <c r="AG365" s="103"/>
      <c r="AH365" s="52">
        <v>11076</v>
      </c>
      <c r="AI365" s="52">
        <v>14035</v>
      </c>
      <c r="AJ365" s="108">
        <v>41.33</v>
      </c>
      <c r="AK365" s="104">
        <v>82.66</v>
      </c>
      <c r="AL365" s="108">
        <v>54.33</v>
      </c>
      <c r="AM365" s="108"/>
      <c r="AN365" s="53">
        <f t="shared" si="185"/>
        <v>108.66</v>
      </c>
      <c r="AO365" s="53">
        <v>24.07</v>
      </c>
      <c r="AP365" s="108"/>
      <c r="AQ365" s="108"/>
      <c r="AR365" s="108"/>
      <c r="AS365" s="108"/>
      <c r="AT365" s="108"/>
      <c r="AU365" s="108"/>
      <c r="AV365" s="108"/>
      <c r="AW365" s="108"/>
      <c r="AX365" s="108"/>
      <c r="AY365" s="108"/>
      <c r="AZ365" s="108"/>
      <c r="BA365" s="108"/>
      <c r="BB365" s="108"/>
      <c r="BC365" s="108"/>
      <c r="BD365" s="108"/>
      <c r="BE365" s="108"/>
      <c r="BF365" s="108"/>
      <c r="BG365" s="108"/>
      <c r="BH365" s="108"/>
      <c r="BI365" s="108"/>
      <c r="BJ365" s="108"/>
      <c r="BK365" s="108"/>
      <c r="BL365" s="108"/>
      <c r="BM365" s="108"/>
      <c r="BN365" s="108"/>
      <c r="BO365" s="108"/>
      <c r="BP365" s="108"/>
      <c r="BQ365" s="108"/>
      <c r="BR365" s="108"/>
      <c r="BS365" s="54" t="s">
        <v>29</v>
      </c>
      <c r="BT365" s="45" t="str">
        <f t="shared" ref="BT365:BT396" si="189">IF(J365=I365, "No", IF(AJ365/AO365&lt;2, "Yes", "No"))</f>
        <v>Yes</v>
      </c>
      <c r="BU365" s="45" t="str">
        <f t="shared" ref="BU365:BU396" si="190">IF(J365=I365, "No", IF(AJ365/AO365&lt;1.5, "Yes", "No"))</f>
        <v>No</v>
      </c>
      <c r="BV365" s="45" t="str">
        <f t="shared" ref="BV365:BV396" si="191">IF(J365=I365, "No", IF((ABS(AJ365-AO365))&lt;(5/I365), "Yes", "No"))</f>
        <v>No</v>
      </c>
      <c r="BW365" s="55">
        <v>70.427806302416002</v>
      </c>
      <c r="BX365" s="55"/>
      <c r="BY365" s="55">
        <v>66.792806302415997</v>
      </c>
      <c r="BZ365" s="55"/>
      <c r="CA365" s="45">
        <v>2008</v>
      </c>
      <c r="CB365" s="55">
        <f t="shared" si="187"/>
        <v>28.672114402451481</v>
      </c>
      <c r="CC365" s="46" t="s">
        <v>281</v>
      </c>
      <c r="CD365" s="46" t="s">
        <v>151</v>
      </c>
      <c r="CE365" s="46" t="s">
        <v>783</v>
      </c>
      <c r="CF365" s="46">
        <v>2</v>
      </c>
      <c r="CG365" s="46" t="str">
        <f t="shared" si="186"/>
        <v>Yes</v>
      </c>
      <c r="CH365" s="46" t="s">
        <v>35</v>
      </c>
      <c r="CI365" s="56">
        <v>25</v>
      </c>
      <c r="CJ365" s="46">
        <v>50</v>
      </c>
      <c r="CK365" s="46" t="s">
        <v>23</v>
      </c>
      <c r="CL365" s="49" t="s">
        <v>29</v>
      </c>
      <c r="CM365" s="50">
        <v>0</v>
      </c>
      <c r="CN365" s="50"/>
      <c r="CO365" s="50"/>
      <c r="CP365" s="46" t="s">
        <v>23</v>
      </c>
      <c r="CQ365" s="46" t="s">
        <v>24</v>
      </c>
      <c r="CR365" s="46">
        <v>11</v>
      </c>
      <c r="CS365" s="46" t="s">
        <v>854</v>
      </c>
      <c r="CT365" s="46" t="s">
        <v>856</v>
      </c>
      <c r="CU365" s="46" t="s">
        <v>29</v>
      </c>
      <c r="CV365" s="46" t="s">
        <v>23</v>
      </c>
      <c r="CW365" s="46" t="s">
        <v>23</v>
      </c>
      <c r="CX365" s="49" t="s">
        <v>927</v>
      </c>
      <c r="CY365" s="49" t="s">
        <v>295</v>
      </c>
      <c r="CZ365" s="49">
        <v>0</v>
      </c>
      <c r="DA365" s="49">
        <v>0</v>
      </c>
      <c r="DB365" s="64">
        <v>48950</v>
      </c>
      <c r="DC365" s="58">
        <v>15.58</v>
      </c>
      <c r="DD365" s="58">
        <v>3.39</v>
      </c>
      <c r="DE365" s="58">
        <v>31.53</v>
      </c>
      <c r="DF365" s="58">
        <v>46.44</v>
      </c>
      <c r="DG365" s="58">
        <v>3.0418794688457611</v>
      </c>
      <c r="DH365" s="58">
        <v>84.42</v>
      </c>
      <c r="DI365" s="45" t="s">
        <v>35</v>
      </c>
      <c r="DJ365" s="59" t="str">
        <f t="shared" si="188"/>
        <v>No single majority group</v>
      </c>
      <c r="DK365" s="65">
        <v>48950</v>
      </c>
      <c r="DL365" s="58">
        <v>15.58</v>
      </c>
      <c r="DM365" s="58">
        <v>3.39</v>
      </c>
      <c r="DN365" s="58">
        <v>31.53</v>
      </c>
      <c r="DO365" s="58">
        <v>84.42</v>
      </c>
      <c r="DP365" s="66">
        <v>49.65</v>
      </c>
      <c r="DQ365" s="67">
        <v>83878.5</v>
      </c>
      <c r="DR365" s="53">
        <v>11.7</v>
      </c>
      <c r="DS365" s="58">
        <v>72.900000000000006</v>
      </c>
      <c r="DT365" s="53">
        <v>58.7</v>
      </c>
      <c r="DU365" s="55">
        <v>3.1</v>
      </c>
      <c r="DV365" s="50">
        <v>35.200000000000003</v>
      </c>
      <c r="DW365" s="53">
        <v>82.4</v>
      </c>
      <c r="DX365" s="53">
        <v>81.92</v>
      </c>
      <c r="DY365" s="53">
        <v>52.210099999999997</v>
      </c>
      <c r="DZ365" s="63"/>
    </row>
    <row r="366" spans="1:130" s="5" customFormat="1" ht="14.25" hidden="1" customHeight="1">
      <c r="A366" s="45">
        <v>1304</v>
      </c>
      <c r="B366" s="46" t="s">
        <v>292</v>
      </c>
      <c r="C366" s="47">
        <v>2010</v>
      </c>
      <c r="D366" s="47" t="s">
        <v>300</v>
      </c>
      <c r="E366" s="46" t="s">
        <v>236</v>
      </c>
      <c r="F366" s="46">
        <v>4</v>
      </c>
      <c r="G366" s="48">
        <v>85000</v>
      </c>
      <c r="H366" s="46" t="s">
        <v>249</v>
      </c>
      <c r="I366" s="46">
        <v>1</v>
      </c>
      <c r="J366" s="47">
        <v>6</v>
      </c>
      <c r="K366" s="45" t="s">
        <v>301</v>
      </c>
      <c r="L366" s="45" t="s">
        <v>30</v>
      </c>
      <c r="M366" s="49" t="s">
        <v>29</v>
      </c>
      <c r="N366" s="49" t="s">
        <v>512</v>
      </c>
      <c r="O366" s="49"/>
      <c r="P366" s="45" t="s">
        <v>857</v>
      </c>
      <c r="Q366" s="49" t="s">
        <v>35</v>
      </c>
      <c r="R366" s="49">
        <v>0</v>
      </c>
      <c r="S366" s="50">
        <f t="shared" si="181"/>
        <v>0</v>
      </c>
      <c r="T366" s="49">
        <v>2</v>
      </c>
      <c r="U366" s="50">
        <f t="shared" si="182"/>
        <v>33.333333333333329</v>
      </c>
      <c r="V366" s="49" t="s">
        <v>794</v>
      </c>
      <c r="W366" s="49">
        <v>0</v>
      </c>
      <c r="X366" s="50">
        <f t="shared" si="183"/>
        <v>0</v>
      </c>
      <c r="Y366" s="51" t="str">
        <f t="shared" si="184"/>
        <v>No</v>
      </c>
      <c r="Z366" s="49" t="s">
        <v>35</v>
      </c>
      <c r="AA366" s="49" t="s">
        <v>23</v>
      </c>
      <c r="AB366" s="49" t="s">
        <v>23</v>
      </c>
      <c r="AC366" s="47" t="s">
        <v>26</v>
      </c>
      <c r="AD366" s="46" t="s">
        <v>27</v>
      </c>
      <c r="AE366" s="46" t="s">
        <v>73</v>
      </c>
      <c r="AF366" s="46" t="s">
        <v>29</v>
      </c>
      <c r="AG366" s="103"/>
      <c r="AH366" s="52">
        <v>17376</v>
      </c>
      <c r="AI366" s="52">
        <v>24688</v>
      </c>
      <c r="AJ366" s="108">
        <v>43.01</v>
      </c>
      <c r="AK366" s="104">
        <v>86.02</v>
      </c>
      <c r="AL366" s="108">
        <v>62.98</v>
      </c>
      <c r="AM366" s="108"/>
      <c r="AN366" s="53">
        <f t="shared" si="185"/>
        <v>125.96</v>
      </c>
      <c r="AO366" s="53">
        <v>24.65</v>
      </c>
      <c r="AP366" s="108"/>
      <c r="AQ366" s="108"/>
      <c r="AR366" s="108"/>
      <c r="AS366" s="108"/>
      <c r="AT366" s="108"/>
      <c r="AU366" s="108"/>
      <c r="AV366" s="108"/>
      <c r="AW366" s="108"/>
      <c r="AX366" s="108"/>
      <c r="AY366" s="108"/>
      <c r="AZ366" s="108"/>
      <c r="BA366" s="108"/>
      <c r="BB366" s="108"/>
      <c r="BC366" s="108"/>
      <c r="BD366" s="108"/>
      <c r="BE366" s="108"/>
      <c r="BF366" s="108"/>
      <c r="BG366" s="108"/>
      <c r="BH366" s="108"/>
      <c r="BI366" s="108"/>
      <c r="BJ366" s="108"/>
      <c r="BK366" s="108"/>
      <c r="BL366" s="108"/>
      <c r="BM366" s="108"/>
      <c r="BN366" s="108"/>
      <c r="BO366" s="108"/>
      <c r="BP366" s="108"/>
      <c r="BQ366" s="108"/>
      <c r="BR366" s="108"/>
      <c r="BS366" s="54" t="s">
        <v>29</v>
      </c>
      <c r="BT366" s="45" t="str">
        <f t="shared" si="189"/>
        <v>Yes</v>
      </c>
      <c r="BU366" s="45" t="str">
        <f t="shared" si="190"/>
        <v>No</v>
      </c>
      <c r="BV366" s="45" t="str">
        <f t="shared" si="191"/>
        <v>No</v>
      </c>
      <c r="BW366" s="55">
        <v>70.427806302416002</v>
      </c>
      <c r="BX366" s="55"/>
      <c r="BY366" s="55">
        <v>66.792806302415997</v>
      </c>
      <c r="BZ366" s="55"/>
      <c r="CA366" s="45">
        <v>2008</v>
      </c>
      <c r="CB366" s="55">
        <f t="shared" si="187"/>
        <v>39.841203240486713</v>
      </c>
      <c r="CC366" s="46" t="s">
        <v>281</v>
      </c>
      <c r="CD366" s="46" t="s">
        <v>151</v>
      </c>
      <c r="CE366" s="46" t="s">
        <v>783</v>
      </c>
      <c r="CF366" s="46">
        <v>2</v>
      </c>
      <c r="CG366" s="46" t="str">
        <f t="shared" si="186"/>
        <v>Yes</v>
      </c>
      <c r="CH366" s="46" t="s">
        <v>35</v>
      </c>
      <c r="CI366" s="56">
        <v>25</v>
      </c>
      <c r="CJ366" s="46">
        <v>50</v>
      </c>
      <c r="CK366" s="46" t="s">
        <v>23</v>
      </c>
      <c r="CL366" s="49" t="s">
        <v>29</v>
      </c>
      <c r="CM366" s="50">
        <v>0</v>
      </c>
      <c r="CN366" s="50"/>
      <c r="CO366" s="50"/>
      <c r="CP366" s="46" t="s">
        <v>23</v>
      </c>
      <c r="CQ366" s="46" t="s">
        <v>24</v>
      </c>
      <c r="CR366" s="46">
        <v>11</v>
      </c>
      <c r="CS366" s="46" t="s">
        <v>854</v>
      </c>
      <c r="CT366" s="46" t="s">
        <v>856</v>
      </c>
      <c r="CU366" s="46" t="s">
        <v>29</v>
      </c>
      <c r="CV366" s="46" t="s">
        <v>23</v>
      </c>
      <c r="CW366" s="46" t="s">
        <v>23</v>
      </c>
      <c r="CX366" s="49" t="s">
        <v>927</v>
      </c>
      <c r="CY366" s="49" t="s">
        <v>295</v>
      </c>
      <c r="CZ366" s="49">
        <v>0</v>
      </c>
      <c r="DA366" s="49">
        <v>0</v>
      </c>
      <c r="DB366" s="64">
        <v>61966</v>
      </c>
      <c r="DC366" s="58">
        <v>67.69</v>
      </c>
      <c r="DD366" s="58">
        <v>2.2999999999999998</v>
      </c>
      <c r="DE366" s="58">
        <v>15.590000000000002</v>
      </c>
      <c r="DF366" s="58">
        <v>11.5</v>
      </c>
      <c r="DG366" s="58">
        <v>2.912887712616596</v>
      </c>
      <c r="DH366" s="58">
        <v>32.31</v>
      </c>
      <c r="DI366" s="45" t="s">
        <v>29</v>
      </c>
      <c r="DJ366" s="59" t="str">
        <f t="shared" si="188"/>
        <v>N/A</v>
      </c>
      <c r="DK366" s="65">
        <v>61966</v>
      </c>
      <c r="DL366" s="58">
        <v>67.69</v>
      </c>
      <c r="DM366" s="58">
        <v>2.2999999999999998</v>
      </c>
      <c r="DN366" s="58">
        <v>15.590000000000002</v>
      </c>
      <c r="DO366" s="58">
        <v>32.31</v>
      </c>
      <c r="DP366" s="66">
        <v>49.65</v>
      </c>
      <c r="DQ366" s="67">
        <v>83878.5</v>
      </c>
      <c r="DR366" s="53">
        <v>11.7</v>
      </c>
      <c r="DS366" s="58">
        <v>72.900000000000006</v>
      </c>
      <c r="DT366" s="53">
        <v>58.7</v>
      </c>
      <c r="DU366" s="55">
        <v>3.1</v>
      </c>
      <c r="DV366" s="50">
        <v>35.200000000000003</v>
      </c>
      <c r="DW366" s="53">
        <v>82.4</v>
      </c>
      <c r="DX366" s="53">
        <v>81.92</v>
      </c>
      <c r="DY366" s="53">
        <v>52.210099999999997</v>
      </c>
      <c r="DZ366" s="63"/>
    </row>
    <row r="367" spans="1:130" s="5" customFormat="1" ht="14.25" hidden="1" customHeight="1">
      <c r="A367" s="45">
        <v>1299</v>
      </c>
      <c r="B367" s="46" t="s">
        <v>292</v>
      </c>
      <c r="C367" s="47">
        <v>2010</v>
      </c>
      <c r="D367" s="47" t="s">
        <v>38</v>
      </c>
      <c r="E367" s="46" t="s">
        <v>22</v>
      </c>
      <c r="F367" s="46">
        <v>4</v>
      </c>
      <c r="G367" s="48">
        <v>105000</v>
      </c>
      <c r="H367" s="46" t="s">
        <v>249</v>
      </c>
      <c r="I367" s="46">
        <v>1</v>
      </c>
      <c r="J367" s="47">
        <v>4</v>
      </c>
      <c r="K367" s="45" t="s">
        <v>308</v>
      </c>
      <c r="L367" s="45" t="s">
        <v>30</v>
      </c>
      <c r="M367" s="49" t="s">
        <v>29</v>
      </c>
      <c r="N367" s="49" t="s">
        <v>513</v>
      </c>
      <c r="O367" s="49"/>
      <c r="P367" s="45" t="s">
        <v>31</v>
      </c>
      <c r="Q367" s="49" t="s">
        <v>29</v>
      </c>
      <c r="R367" s="49">
        <v>1</v>
      </c>
      <c r="S367" s="50">
        <f t="shared" si="181"/>
        <v>25</v>
      </c>
      <c r="T367" s="49">
        <v>1</v>
      </c>
      <c r="U367" s="50">
        <f t="shared" si="182"/>
        <v>25</v>
      </c>
      <c r="V367" s="49" t="s">
        <v>173</v>
      </c>
      <c r="W367" s="49">
        <v>0</v>
      </c>
      <c r="X367" s="50">
        <f t="shared" si="183"/>
        <v>0</v>
      </c>
      <c r="Y367" s="51" t="str">
        <f t="shared" si="184"/>
        <v>No</v>
      </c>
      <c r="Z367" s="49" t="s">
        <v>29</v>
      </c>
      <c r="AA367" s="49" t="s">
        <v>29</v>
      </c>
      <c r="AB367" s="49" t="s">
        <v>29</v>
      </c>
      <c r="AC367" s="46" t="s">
        <v>151</v>
      </c>
      <c r="AD367" s="46" t="s">
        <v>152</v>
      </c>
      <c r="AE367" s="46" t="s">
        <v>73</v>
      </c>
      <c r="AF367" s="46" t="s">
        <v>29</v>
      </c>
      <c r="AG367" s="103"/>
      <c r="AH367" s="52">
        <v>134320</v>
      </c>
      <c r="AI367" s="52">
        <v>134320</v>
      </c>
      <c r="AJ367" s="108">
        <v>76.849999999999994</v>
      </c>
      <c r="AK367" s="104">
        <v>153.69999999999999</v>
      </c>
      <c r="AL367" s="108">
        <v>76.849999999999994</v>
      </c>
      <c r="AM367" s="108"/>
      <c r="AN367" s="53">
        <f t="shared" si="185"/>
        <v>153.69999999999999</v>
      </c>
      <c r="AO367" s="53">
        <v>9.94</v>
      </c>
      <c r="AP367" s="108"/>
      <c r="AQ367" s="108"/>
      <c r="AR367" s="108"/>
      <c r="AS367" s="108"/>
      <c r="AT367" s="108"/>
      <c r="AU367" s="108"/>
      <c r="AV367" s="108"/>
      <c r="AW367" s="108"/>
      <c r="AX367" s="108"/>
      <c r="AY367" s="108"/>
      <c r="AZ367" s="108"/>
      <c r="BA367" s="108"/>
      <c r="BB367" s="108"/>
      <c r="BC367" s="108"/>
      <c r="BD367" s="108"/>
      <c r="BE367" s="108"/>
      <c r="BF367" s="108"/>
      <c r="BG367" s="108"/>
      <c r="BH367" s="108"/>
      <c r="BI367" s="108"/>
      <c r="BJ367" s="108"/>
      <c r="BK367" s="108"/>
      <c r="BL367" s="108"/>
      <c r="BM367" s="108"/>
      <c r="BN367" s="108"/>
      <c r="BO367" s="108"/>
      <c r="BP367" s="108"/>
      <c r="BQ367" s="108"/>
      <c r="BR367" s="108"/>
      <c r="BS367" s="54" t="s">
        <v>29</v>
      </c>
      <c r="BT367" s="45" t="str">
        <f t="shared" si="189"/>
        <v>No</v>
      </c>
      <c r="BU367" s="45" t="str">
        <f t="shared" si="190"/>
        <v>No</v>
      </c>
      <c r="BV367" s="45" t="str">
        <f t="shared" si="191"/>
        <v>No</v>
      </c>
      <c r="BW367" s="55">
        <v>70.427806302416002</v>
      </c>
      <c r="BX367" s="55">
        <v>70.427806302416002</v>
      </c>
      <c r="BY367" s="55">
        <v>66.792806302415997</v>
      </c>
      <c r="BZ367" s="55">
        <f>BX367-(0.0727*100/2)</f>
        <v>66.792806302415997</v>
      </c>
      <c r="CA367" s="45">
        <v>2008</v>
      </c>
      <c r="CB367" s="55">
        <f t="shared" si="187"/>
        <v>23.906098440016731</v>
      </c>
      <c r="CC367" s="46" t="s">
        <v>281</v>
      </c>
      <c r="CD367" s="46" t="s">
        <v>151</v>
      </c>
      <c r="CE367" s="46" t="s">
        <v>783</v>
      </c>
      <c r="CF367" s="46">
        <v>2</v>
      </c>
      <c r="CG367" s="46" t="str">
        <f t="shared" si="186"/>
        <v>Yes</v>
      </c>
      <c r="CH367" s="46" t="s">
        <v>35</v>
      </c>
      <c r="CI367" s="56">
        <v>25</v>
      </c>
      <c r="CJ367" s="46">
        <v>50</v>
      </c>
      <c r="CK367" s="46" t="s">
        <v>23</v>
      </c>
      <c r="CL367" s="49" t="s">
        <v>29</v>
      </c>
      <c r="CM367" s="50">
        <v>0</v>
      </c>
      <c r="CN367" s="50">
        <v>317284.09970000008</v>
      </c>
      <c r="CO367" s="50" t="s">
        <v>35</v>
      </c>
      <c r="CP367" s="46" t="s">
        <v>23</v>
      </c>
      <c r="CQ367" s="46" t="s">
        <v>23</v>
      </c>
      <c r="CR367" s="46">
        <v>11</v>
      </c>
      <c r="CS367" s="46" t="s">
        <v>854</v>
      </c>
      <c r="CT367" s="46" t="s">
        <v>53</v>
      </c>
      <c r="CU367" s="46" t="s">
        <v>29</v>
      </c>
      <c r="CV367" s="46" t="s">
        <v>23</v>
      </c>
      <c r="CW367" s="46" t="s">
        <v>23</v>
      </c>
      <c r="CX367" s="49" t="s">
        <v>927</v>
      </c>
      <c r="CY367" s="49" t="s">
        <v>295</v>
      </c>
      <c r="CZ367" s="49">
        <v>0</v>
      </c>
      <c r="DA367" s="49">
        <v>0</v>
      </c>
      <c r="DB367" s="57">
        <v>561865</v>
      </c>
      <c r="DC367" s="58">
        <v>38.82</v>
      </c>
      <c r="DD367" s="58">
        <v>3.42</v>
      </c>
      <c r="DE367" s="58">
        <v>23.71</v>
      </c>
      <c r="DF367" s="58">
        <v>31.130000000000003</v>
      </c>
      <c r="DG367" s="58">
        <v>2.9200000000000004</v>
      </c>
      <c r="DH367" s="58">
        <v>61.18</v>
      </c>
      <c r="DI367" s="45" t="s">
        <v>35</v>
      </c>
      <c r="DJ367" s="59" t="str">
        <f t="shared" si="188"/>
        <v>No single majority group</v>
      </c>
      <c r="DK367" s="65">
        <v>561865</v>
      </c>
      <c r="DL367" s="58">
        <v>38.82</v>
      </c>
      <c r="DM367" s="58">
        <v>3.42</v>
      </c>
      <c r="DN367" s="58">
        <v>23.71</v>
      </c>
      <c r="DO367" s="58">
        <v>61.18</v>
      </c>
      <c r="DP367" s="66">
        <v>49.65</v>
      </c>
      <c r="DQ367" s="67">
        <v>83878.5</v>
      </c>
      <c r="DR367" s="53">
        <v>11.7</v>
      </c>
      <c r="DS367" s="58">
        <v>72.900000000000006</v>
      </c>
      <c r="DT367" s="53">
        <v>58.7</v>
      </c>
      <c r="DU367" s="55">
        <v>3.1</v>
      </c>
      <c r="DV367" s="50">
        <v>35.200000000000003</v>
      </c>
      <c r="DW367" s="53">
        <v>82.4</v>
      </c>
      <c r="DX367" s="53">
        <v>81.92</v>
      </c>
      <c r="DY367" s="53">
        <v>52.210099999999997</v>
      </c>
      <c r="DZ367" s="63"/>
    </row>
    <row r="368" spans="1:130" s="5" customFormat="1" ht="14.25" hidden="1" customHeight="1">
      <c r="A368" s="45">
        <v>1298</v>
      </c>
      <c r="B368" s="46" t="s">
        <v>292</v>
      </c>
      <c r="C368" s="47">
        <v>2012</v>
      </c>
      <c r="D368" s="47" t="s">
        <v>306</v>
      </c>
      <c r="E368" s="46" t="s">
        <v>224</v>
      </c>
      <c r="F368" s="46">
        <v>4</v>
      </c>
      <c r="G368" s="48">
        <v>85000</v>
      </c>
      <c r="H368" s="46" t="s">
        <v>249</v>
      </c>
      <c r="I368" s="46">
        <v>1</v>
      </c>
      <c r="J368" s="47">
        <v>6</v>
      </c>
      <c r="K368" s="45" t="s">
        <v>307</v>
      </c>
      <c r="L368" s="45" t="s">
        <v>30</v>
      </c>
      <c r="M368" s="49" t="s">
        <v>29</v>
      </c>
      <c r="N368" s="49" t="s">
        <v>512</v>
      </c>
      <c r="O368" s="49"/>
      <c r="P368" s="45" t="s">
        <v>31</v>
      </c>
      <c r="Q368" s="49" t="s">
        <v>29</v>
      </c>
      <c r="R368" s="49">
        <v>3</v>
      </c>
      <c r="S368" s="50">
        <f t="shared" si="181"/>
        <v>50</v>
      </c>
      <c r="T368" s="49">
        <v>0</v>
      </c>
      <c r="U368" s="50">
        <f t="shared" si="182"/>
        <v>0</v>
      </c>
      <c r="V368" s="49"/>
      <c r="W368" s="49">
        <v>0</v>
      </c>
      <c r="X368" s="50">
        <f t="shared" si="183"/>
        <v>0</v>
      </c>
      <c r="Y368" s="51" t="str">
        <f t="shared" si="184"/>
        <v>No</v>
      </c>
      <c r="Z368" s="49" t="s">
        <v>35</v>
      </c>
      <c r="AA368" s="49" t="s">
        <v>23</v>
      </c>
      <c r="AB368" s="49" t="s">
        <v>23</v>
      </c>
      <c r="AC368" s="47" t="s">
        <v>26</v>
      </c>
      <c r="AD368" s="46" t="s">
        <v>27</v>
      </c>
      <c r="AE368" s="46" t="s">
        <v>89</v>
      </c>
      <c r="AF368" s="46" t="s">
        <v>29</v>
      </c>
      <c r="AG368" s="103">
        <v>40586</v>
      </c>
      <c r="AH368" s="52">
        <v>17673</v>
      </c>
      <c r="AI368" s="52">
        <v>33923</v>
      </c>
      <c r="AJ368" s="108">
        <v>19.71</v>
      </c>
      <c r="AK368" s="104">
        <v>39.42</v>
      </c>
      <c r="AL368" s="108">
        <v>52.57</v>
      </c>
      <c r="AM368" s="108"/>
      <c r="AN368" s="53">
        <f t="shared" si="185"/>
        <v>105.14</v>
      </c>
      <c r="AO368" s="53">
        <v>19.7</v>
      </c>
      <c r="AP368" s="108">
        <v>6663</v>
      </c>
      <c r="AQ368" s="108">
        <v>16.416991080668211</v>
      </c>
      <c r="AR368" s="108"/>
      <c r="AS368" s="108"/>
      <c r="AT368" s="108"/>
      <c r="AU368" s="108"/>
      <c r="AV368" s="108"/>
      <c r="AW368" s="108"/>
      <c r="AX368" s="108"/>
      <c r="AY368" s="108"/>
      <c r="AZ368" s="108"/>
      <c r="BA368" s="108"/>
      <c r="BB368" s="108"/>
      <c r="BC368" s="108"/>
      <c r="BD368" s="108"/>
      <c r="BE368" s="108"/>
      <c r="BF368" s="108"/>
      <c r="BG368" s="108"/>
      <c r="BH368" s="108"/>
      <c r="BI368" s="108"/>
      <c r="BJ368" s="108"/>
      <c r="BK368" s="108"/>
      <c r="BL368" s="108"/>
      <c r="BM368" s="108"/>
      <c r="BN368" s="108"/>
      <c r="BO368" s="108"/>
      <c r="BP368" s="108"/>
      <c r="BQ368" s="108"/>
      <c r="BR368" s="108"/>
      <c r="BS368" s="54" t="s">
        <v>29</v>
      </c>
      <c r="BT368" s="45" t="str">
        <f t="shared" si="189"/>
        <v>Yes</v>
      </c>
      <c r="BU368" s="45" t="str">
        <f t="shared" si="190"/>
        <v>Yes</v>
      </c>
      <c r="BV368" s="45" t="str">
        <f t="shared" si="191"/>
        <v>Yes</v>
      </c>
      <c r="BW368" s="55">
        <v>73.34541999999999</v>
      </c>
      <c r="BX368" s="55">
        <v>64.971621400000004</v>
      </c>
      <c r="BY368" s="55">
        <v>71.415419999999997</v>
      </c>
      <c r="BZ368" s="55">
        <f t="shared" ref="BZ368:BZ378" si="192">BX368-(0.0386*100/2)</f>
        <v>63.041621400000004</v>
      </c>
      <c r="CA368" s="45">
        <v>2012</v>
      </c>
      <c r="CB368" s="55">
        <f t="shared" si="187"/>
        <v>53.189187494120226</v>
      </c>
      <c r="CC368" s="46" t="s">
        <v>281</v>
      </c>
      <c r="CD368" s="46" t="s">
        <v>151</v>
      </c>
      <c r="CE368" s="46" t="s">
        <v>783</v>
      </c>
      <c r="CF368" s="46">
        <v>2</v>
      </c>
      <c r="CG368" s="46" t="str">
        <f t="shared" si="186"/>
        <v>Yes</v>
      </c>
      <c r="CH368" s="46" t="s">
        <v>35</v>
      </c>
      <c r="CI368" s="56">
        <v>25</v>
      </c>
      <c r="CJ368" s="46">
        <v>50</v>
      </c>
      <c r="CK368" s="46" t="s">
        <v>23</v>
      </c>
      <c r="CL368" s="49" t="s">
        <v>29</v>
      </c>
      <c r="CM368" s="50">
        <v>0</v>
      </c>
      <c r="CN368" s="50"/>
      <c r="CO368" s="50"/>
      <c r="CP368" s="46" t="s">
        <v>23</v>
      </c>
      <c r="CQ368" s="46" t="s">
        <v>24</v>
      </c>
      <c r="CR368" s="46">
        <v>11</v>
      </c>
      <c r="CS368" s="46" t="s">
        <v>854</v>
      </c>
      <c r="CT368" s="46" t="s">
        <v>856</v>
      </c>
      <c r="CU368" s="46" t="s">
        <v>29</v>
      </c>
      <c r="CV368" s="46" t="s">
        <v>23</v>
      </c>
      <c r="CW368" s="46" t="s">
        <v>23</v>
      </c>
      <c r="CX368" s="49" t="s">
        <v>926</v>
      </c>
      <c r="CY368" s="49" t="s">
        <v>295</v>
      </c>
      <c r="CZ368" s="49">
        <v>0</v>
      </c>
      <c r="DA368" s="49">
        <v>0</v>
      </c>
      <c r="DB368" s="64">
        <v>63778</v>
      </c>
      <c r="DC368" s="58">
        <v>56.46</v>
      </c>
      <c r="DD368" s="58">
        <v>2.41</v>
      </c>
      <c r="DE368" s="58">
        <v>15.559999999999999</v>
      </c>
      <c r="DF368" s="58">
        <v>22.23</v>
      </c>
      <c r="DG368" s="58">
        <v>3.3569569444008907</v>
      </c>
      <c r="DH368" s="58">
        <v>43.54</v>
      </c>
      <c r="DI368" s="45" t="s">
        <v>29</v>
      </c>
      <c r="DJ368" s="59" t="str">
        <f t="shared" si="188"/>
        <v>N/A</v>
      </c>
      <c r="DK368" s="65">
        <v>63778</v>
      </c>
      <c r="DL368" s="58">
        <v>56.46</v>
      </c>
      <c r="DM368" s="58">
        <v>2.41</v>
      </c>
      <c r="DN368" s="58">
        <v>15.559999999999999</v>
      </c>
      <c r="DO368" s="58">
        <v>43.54</v>
      </c>
      <c r="DP368" s="66">
        <v>49.7</v>
      </c>
      <c r="DQ368" s="67">
        <v>83787</v>
      </c>
      <c r="DR368" s="53">
        <v>11.8</v>
      </c>
      <c r="DS368" s="58">
        <v>72.8</v>
      </c>
      <c r="DT368" s="53">
        <v>57.4</v>
      </c>
      <c r="DU368" s="55">
        <v>3.13</v>
      </c>
      <c r="DV368" s="50">
        <v>35.9</v>
      </c>
      <c r="DW368" s="53">
        <v>82.5</v>
      </c>
      <c r="DX368" s="53">
        <v>82.56</v>
      </c>
      <c r="DY368" s="53">
        <v>53.338099999999997</v>
      </c>
      <c r="DZ368" s="63"/>
    </row>
    <row r="369" spans="1:130" s="5" customFormat="1" ht="14.25" hidden="1" customHeight="1">
      <c r="A369" s="45">
        <v>1294</v>
      </c>
      <c r="B369" s="46" t="s">
        <v>292</v>
      </c>
      <c r="C369" s="47">
        <v>2012</v>
      </c>
      <c r="D369" s="47" t="s">
        <v>91</v>
      </c>
      <c r="E369" s="71" t="s">
        <v>92</v>
      </c>
      <c r="F369" s="46">
        <v>4</v>
      </c>
      <c r="G369" s="48">
        <v>85000</v>
      </c>
      <c r="H369" s="46" t="s">
        <v>249</v>
      </c>
      <c r="I369" s="46">
        <v>1</v>
      </c>
      <c r="J369" s="47">
        <v>2</v>
      </c>
      <c r="K369" s="45" t="s">
        <v>302</v>
      </c>
      <c r="L369" s="45" t="s">
        <v>30</v>
      </c>
      <c r="M369" s="49" t="s">
        <v>29</v>
      </c>
      <c r="N369" s="49" t="s">
        <v>513</v>
      </c>
      <c r="O369" s="49"/>
      <c r="P369" s="45" t="s">
        <v>34</v>
      </c>
      <c r="Q369" s="49" t="s">
        <v>35</v>
      </c>
      <c r="R369" s="49">
        <v>0</v>
      </c>
      <c r="S369" s="50">
        <f t="shared" si="181"/>
        <v>0</v>
      </c>
      <c r="T369" s="49">
        <v>1</v>
      </c>
      <c r="U369" s="50">
        <f t="shared" si="182"/>
        <v>50</v>
      </c>
      <c r="V369" s="49" t="s">
        <v>173</v>
      </c>
      <c r="W369" s="49">
        <v>0</v>
      </c>
      <c r="X369" s="50">
        <f t="shared" si="183"/>
        <v>0</v>
      </c>
      <c r="Y369" s="51" t="str">
        <f t="shared" si="184"/>
        <v>No</v>
      </c>
      <c r="Z369" s="49" t="s">
        <v>29</v>
      </c>
      <c r="AA369" s="49" t="s">
        <v>35</v>
      </c>
      <c r="AB369" s="49" t="s">
        <v>29</v>
      </c>
      <c r="AC369" s="46" t="s">
        <v>151</v>
      </c>
      <c r="AD369" s="46" t="s">
        <v>152</v>
      </c>
      <c r="AE369" s="46" t="s">
        <v>89</v>
      </c>
      <c r="AF369" s="46" t="s">
        <v>29</v>
      </c>
      <c r="AG369" s="103"/>
      <c r="AH369" s="52">
        <v>12580</v>
      </c>
      <c r="AI369" s="52">
        <v>12580</v>
      </c>
      <c r="AJ369" s="108">
        <v>53.03</v>
      </c>
      <c r="AK369" s="104">
        <v>106.06</v>
      </c>
      <c r="AL369" s="108">
        <v>53.03</v>
      </c>
      <c r="AM369" s="108"/>
      <c r="AN369" s="53">
        <f t="shared" si="185"/>
        <v>106.06</v>
      </c>
      <c r="AO369" s="53">
        <v>46.97</v>
      </c>
      <c r="AP369" s="108"/>
      <c r="AQ369" s="108"/>
      <c r="AR369" s="108"/>
      <c r="AS369" s="108"/>
      <c r="AT369" s="108"/>
      <c r="AU369" s="108"/>
      <c r="AV369" s="108"/>
      <c r="AW369" s="108"/>
      <c r="AX369" s="108"/>
      <c r="AY369" s="108"/>
      <c r="AZ369" s="108"/>
      <c r="BA369" s="108"/>
      <c r="BB369" s="108"/>
      <c r="BC369" s="108"/>
      <c r="BD369" s="108"/>
      <c r="BE369" s="108"/>
      <c r="BF369" s="108"/>
      <c r="BG369" s="108"/>
      <c r="BH369" s="108"/>
      <c r="BI369" s="108"/>
      <c r="BJ369" s="108"/>
      <c r="BK369" s="108"/>
      <c r="BL369" s="108"/>
      <c r="BM369" s="108"/>
      <c r="BN369" s="108"/>
      <c r="BO369" s="108"/>
      <c r="BP369" s="108"/>
      <c r="BQ369" s="108"/>
      <c r="BR369" s="108"/>
      <c r="BS369" s="54" t="s">
        <v>29</v>
      </c>
      <c r="BT369" s="45" t="str">
        <f t="shared" si="189"/>
        <v>Yes</v>
      </c>
      <c r="BU369" s="45" t="str">
        <f t="shared" si="190"/>
        <v>Yes</v>
      </c>
      <c r="BV369" s="45" t="str">
        <f t="shared" si="191"/>
        <v>No</v>
      </c>
      <c r="BW369" s="55">
        <v>73.34541999999999</v>
      </c>
      <c r="BX369" s="55">
        <v>71.580166500000004</v>
      </c>
      <c r="BY369" s="55">
        <v>71.415419999999997</v>
      </c>
      <c r="BZ369" s="55">
        <f t="shared" si="192"/>
        <v>69.650166499999997</v>
      </c>
      <c r="CA369" s="45">
        <v>2012</v>
      </c>
      <c r="CB369" s="55">
        <f t="shared" si="187"/>
        <v>21.738003490522022</v>
      </c>
      <c r="CC369" s="46" t="s">
        <v>281</v>
      </c>
      <c r="CD369" s="46" t="s">
        <v>151</v>
      </c>
      <c r="CE369" s="46" t="s">
        <v>783</v>
      </c>
      <c r="CF369" s="46">
        <v>2</v>
      </c>
      <c r="CG369" s="46" t="str">
        <f t="shared" si="186"/>
        <v>Yes</v>
      </c>
      <c r="CH369" s="46" t="s">
        <v>35</v>
      </c>
      <c r="CI369" s="56">
        <v>25</v>
      </c>
      <c r="CJ369" s="46">
        <v>50</v>
      </c>
      <c r="CK369" s="46" t="s">
        <v>23</v>
      </c>
      <c r="CL369" s="49" t="s">
        <v>29</v>
      </c>
      <c r="CM369" s="50">
        <v>0</v>
      </c>
      <c r="CN369" s="50"/>
      <c r="CO369" s="50"/>
      <c r="CP369" s="46" t="s">
        <v>23</v>
      </c>
      <c r="CQ369" s="46" t="s">
        <v>24</v>
      </c>
      <c r="CR369" s="46">
        <v>11</v>
      </c>
      <c r="CS369" s="46" t="s">
        <v>854</v>
      </c>
      <c r="CT369" s="46" t="s">
        <v>856</v>
      </c>
      <c r="CU369" s="46" t="s">
        <v>29</v>
      </c>
      <c r="CV369" s="46" t="s">
        <v>23</v>
      </c>
      <c r="CW369" s="46" t="s">
        <v>23</v>
      </c>
      <c r="CX369" s="49" t="s">
        <v>926</v>
      </c>
      <c r="CY369" s="49" t="s">
        <v>295</v>
      </c>
      <c r="CZ369" s="49">
        <v>0</v>
      </c>
      <c r="DA369" s="49">
        <v>0</v>
      </c>
      <c r="DB369" s="64">
        <v>57871</v>
      </c>
      <c r="DC369" s="58">
        <v>39.68</v>
      </c>
      <c r="DD369" s="58">
        <v>4.3499999999999996</v>
      </c>
      <c r="DE369" s="58">
        <v>27.07</v>
      </c>
      <c r="DF369" s="58">
        <v>25.81</v>
      </c>
      <c r="DG369" s="58">
        <v>3.1069101968170587</v>
      </c>
      <c r="DH369" s="58">
        <v>60.319999999999993</v>
      </c>
      <c r="DI369" s="45" t="s">
        <v>35</v>
      </c>
      <c r="DJ369" s="59" t="str">
        <f t="shared" si="188"/>
        <v>No single majority group</v>
      </c>
      <c r="DK369" s="65">
        <v>57871</v>
      </c>
      <c r="DL369" s="58">
        <v>39.68</v>
      </c>
      <c r="DM369" s="58">
        <v>4.3499999999999996</v>
      </c>
      <c r="DN369" s="58">
        <v>27.07</v>
      </c>
      <c r="DO369" s="58">
        <v>60.319999999999993</v>
      </c>
      <c r="DP369" s="66">
        <v>49.7</v>
      </c>
      <c r="DQ369" s="67">
        <v>83787</v>
      </c>
      <c r="DR369" s="53">
        <v>11.8</v>
      </c>
      <c r="DS369" s="58">
        <v>72.8</v>
      </c>
      <c r="DT369" s="53">
        <v>57.4</v>
      </c>
      <c r="DU369" s="55">
        <v>3.13</v>
      </c>
      <c r="DV369" s="50">
        <v>35.9</v>
      </c>
      <c r="DW369" s="53">
        <v>82.5</v>
      </c>
      <c r="DX369" s="53">
        <v>82.56</v>
      </c>
      <c r="DY369" s="53">
        <v>53.338099999999997</v>
      </c>
      <c r="DZ369" s="63"/>
    </row>
    <row r="370" spans="1:130" s="5" customFormat="1" ht="14.25" hidden="1" customHeight="1">
      <c r="A370" s="45">
        <v>1295</v>
      </c>
      <c r="B370" s="46" t="s">
        <v>292</v>
      </c>
      <c r="C370" s="47">
        <v>2012</v>
      </c>
      <c r="D370" s="47" t="s">
        <v>79</v>
      </c>
      <c r="E370" s="46" t="s">
        <v>80</v>
      </c>
      <c r="F370" s="46">
        <v>4</v>
      </c>
      <c r="G370" s="48">
        <v>85000</v>
      </c>
      <c r="H370" s="46" t="s">
        <v>249</v>
      </c>
      <c r="I370" s="46">
        <v>1</v>
      </c>
      <c r="J370" s="47">
        <v>3</v>
      </c>
      <c r="K370" s="45" t="s">
        <v>303</v>
      </c>
      <c r="L370" s="45" t="s">
        <v>30</v>
      </c>
      <c r="M370" s="49" t="s">
        <v>29</v>
      </c>
      <c r="N370" s="49" t="s">
        <v>513</v>
      </c>
      <c r="O370" s="49"/>
      <c r="P370" s="45" t="s">
        <v>34</v>
      </c>
      <c r="Q370" s="49" t="s">
        <v>35</v>
      </c>
      <c r="R370" s="49">
        <v>0</v>
      </c>
      <c r="S370" s="50">
        <f t="shared" si="181"/>
        <v>0</v>
      </c>
      <c r="T370" s="49">
        <v>2</v>
      </c>
      <c r="U370" s="50">
        <f t="shared" si="182"/>
        <v>66.666666666666657</v>
      </c>
      <c r="V370" s="49" t="s">
        <v>172</v>
      </c>
      <c r="W370" s="49">
        <v>0</v>
      </c>
      <c r="X370" s="50">
        <f t="shared" si="183"/>
        <v>0</v>
      </c>
      <c r="Y370" s="51" t="str">
        <f t="shared" si="184"/>
        <v>No</v>
      </c>
      <c r="Z370" s="49" t="s">
        <v>29</v>
      </c>
      <c r="AA370" s="49" t="s">
        <v>35</v>
      </c>
      <c r="AB370" s="49" t="s">
        <v>29</v>
      </c>
      <c r="AC370" s="46" t="s">
        <v>151</v>
      </c>
      <c r="AD370" s="46" t="s">
        <v>152</v>
      </c>
      <c r="AE370" s="46" t="s">
        <v>89</v>
      </c>
      <c r="AF370" s="46" t="s">
        <v>29</v>
      </c>
      <c r="AG370" s="103"/>
      <c r="AH370" s="52">
        <v>13012</v>
      </c>
      <c r="AI370" s="52">
        <v>13012</v>
      </c>
      <c r="AJ370" s="108">
        <v>54.48</v>
      </c>
      <c r="AK370" s="104">
        <v>108.96</v>
      </c>
      <c r="AL370" s="108">
        <v>54.48</v>
      </c>
      <c r="AM370" s="108"/>
      <c r="AN370" s="53">
        <f t="shared" si="185"/>
        <v>108.96</v>
      </c>
      <c r="AO370" s="53">
        <v>38.229999999999997</v>
      </c>
      <c r="AP370" s="108"/>
      <c r="AQ370" s="108"/>
      <c r="AR370" s="108"/>
      <c r="AS370" s="108"/>
      <c r="AT370" s="108"/>
      <c r="AU370" s="108"/>
      <c r="AV370" s="108"/>
      <c r="AW370" s="108"/>
      <c r="AX370" s="108"/>
      <c r="AY370" s="108"/>
      <c r="AZ370" s="108"/>
      <c r="BA370" s="108"/>
      <c r="BB370" s="108"/>
      <c r="BC370" s="108"/>
      <c r="BD370" s="108"/>
      <c r="BE370" s="108"/>
      <c r="BF370" s="108"/>
      <c r="BG370" s="108"/>
      <c r="BH370" s="108"/>
      <c r="BI370" s="108"/>
      <c r="BJ370" s="108"/>
      <c r="BK370" s="108"/>
      <c r="BL370" s="108"/>
      <c r="BM370" s="108"/>
      <c r="BN370" s="108"/>
      <c r="BO370" s="108"/>
      <c r="BP370" s="108"/>
      <c r="BQ370" s="108"/>
      <c r="BR370" s="108"/>
      <c r="BS370" s="54" t="s">
        <v>29</v>
      </c>
      <c r="BT370" s="45" t="str">
        <f t="shared" si="189"/>
        <v>Yes</v>
      </c>
      <c r="BU370" s="45" t="str">
        <f t="shared" si="190"/>
        <v>Yes</v>
      </c>
      <c r="BV370" s="45" t="str">
        <f t="shared" si="191"/>
        <v>No</v>
      </c>
      <c r="BW370" s="55">
        <v>73.34541999999999</v>
      </c>
      <c r="BX370" s="55">
        <v>74.161378099999993</v>
      </c>
      <c r="BY370" s="55">
        <v>71.415419999999997</v>
      </c>
      <c r="BZ370" s="55">
        <f t="shared" si="192"/>
        <v>72.231378099999986</v>
      </c>
      <c r="CA370" s="45">
        <v>2012</v>
      </c>
      <c r="CB370" s="55">
        <f t="shared" si="187"/>
        <v>21.516684856301882</v>
      </c>
      <c r="CC370" s="46" t="s">
        <v>281</v>
      </c>
      <c r="CD370" s="46" t="s">
        <v>151</v>
      </c>
      <c r="CE370" s="46" t="s">
        <v>783</v>
      </c>
      <c r="CF370" s="46">
        <v>2</v>
      </c>
      <c r="CG370" s="46" t="str">
        <f t="shared" si="186"/>
        <v>Yes</v>
      </c>
      <c r="CH370" s="46" t="s">
        <v>35</v>
      </c>
      <c r="CI370" s="56">
        <v>25</v>
      </c>
      <c r="CJ370" s="46">
        <v>50</v>
      </c>
      <c r="CK370" s="46" t="s">
        <v>23</v>
      </c>
      <c r="CL370" s="49" t="s">
        <v>29</v>
      </c>
      <c r="CM370" s="50">
        <v>0</v>
      </c>
      <c r="CN370" s="102"/>
      <c r="CO370" s="50"/>
      <c r="CP370" s="46" t="s">
        <v>23</v>
      </c>
      <c r="CQ370" s="46" t="s">
        <v>24</v>
      </c>
      <c r="CR370" s="46">
        <v>11</v>
      </c>
      <c r="CS370" s="46" t="s">
        <v>854</v>
      </c>
      <c r="CT370" s="46" t="s">
        <v>856</v>
      </c>
      <c r="CU370" s="46" t="s">
        <v>29</v>
      </c>
      <c r="CV370" s="46" t="s">
        <v>23</v>
      </c>
      <c r="CW370" s="46" t="s">
        <v>23</v>
      </c>
      <c r="CX370" s="49" t="s">
        <v>926</v>
      </c>
      <c r="CY370" s="49" t="s">
        <v>295</v>
      </c>
      <c r="CZ370" s="49">
        <v>0</v>
      </c>
      <c r="DA370" s="49">
        <v>0</v>
      </c>
      <c r="DB370" s="64">
        <v>60474</v>
      </c>
      <c r="DC370" s="58">
        <v>23.189999999999998</v>
      </c>
      <c r="DD370" s="58">
        <v>3.04</v>
      </c>
      <c r="DE370" s="58">
        <v>13.52</v>
      </c>
      <c r="DF370" s="58">
        <v>56.69</v>
      </c>
      <c r="DG370" s="58">
        <v>3.5552468829579653</v>
      </c>
      <c r="DH370" s="58">
        <v>76.81</v>
      </c>
      <c r="DI370" s="45" t="s">
        <v>35</v>
      </c>
      <c r="DJ370" s="59" t="str">
        <f t="shared" si="188"/>
        <v>Asian</v>
      </c>
      <c r="DK370" s="65">
        <v>60474</v>
      </c>
      <c r="DL370" s="58">
        <v>23.189999999999998</v>
      </c>
      <c r="DM370" s="58">
        <v>3.04</v>
      </c>
      <c r="DN370" s="58">
        <v>13.52</v>
      </c>
      <c r="DO370" s="58">
        <v>76.81</v>
      </c>
      <c r="DP370" s="66">
        <v>49.7</v>
      </c>
      <c r="DQ370" s="67">
        <v>83787</v>
      </c>
      <c r="DR370" s="53">
        <v>11.8</v>
      </c>
      <c r="DS370" s="58">
        <v>72.8</v>
      </c>
      <c r="DT370" s="53">
        <v>57.4</v>
      </c>
      <c r="DU370" s="55">
        <v>3.13</v>
      </c>
      <c r="DV370" s="50">
        <v>35.9</v>
      </c>
      <c r="DW370" s="53">
        <v>82.5</v>
      </c>
      <c r="DX370" s="53">
        <v>82.56</v>
      </c>
      <c r="DY370" s="53">
        <v>53.338099999999997</v>
      </c>
      <c r="DZ370" s="63"/>
    </row>
    <row r="371" spans="1:130" s="5" customFormat="1" ht="14.25" hidden="1" customHeight="1">
      <c r="A371" s="45">
        <v>1296</v>
      </c>
      <c r="B371" s="46" t="s">
        <v>292</v>
      </c>
      <c r="C371" s="47">
        <v>2012</v>
      </c>
      <c r="D371" s="47" t="s">
        <v>100</v>
      </c>
      <c r="E371" s="46" t="s">
        <v>101</v>
      </c>
      <c r="F371" s="46">
        <v>4</v>
      </c>
      <c r="G371" s="48">
        <v>85000</v>
      </c>
      <c r="H371" s="46" t="s">
        <v>249</v>
      </c>
      <c r="I371" s="46">
        <v>1</v>
      </c>
      <c r="J371" s="47">
        <v>3</v>
      </c>
      <c r="K371" s="45" t="s">
        <v>304</v>
      </c>
      <c r="L371" s="45" t="s">
        <v>30</v>
      </c>
      <c r="M371" s="49" t="s">
        <v>29</v>
      </c>
      <c r="N371" s="49" t="s">
        <v>513</v>
      </c>
      <c r="O371" s="49"/>
      <c r="P371" s="45" t="s">
        <v>31</v>
      </c>
      <c r="Q371" s="49" t="s">
        <v>29</v>
      </c>
      <c r="R371" s="49">
        <v>0</v>
      </c>
      <c r="S371" s="50">
        <f t="shared" si="181"/>
        <v>0</v>
      </c>
      <c r="T371" s="49">
        <v>0</v>
      </c>
      <c r="U371" s="50">
        <f t="shared" si="182"/>
        <v>0</v>
      </c>
      <c r="V371" s="49"/>
      <c r="W371" s="49">
        <v>0</v>
      </c>
      <c r="X371" s="50">
        <f t="shared" si="183"/>
        <v>0</v>
      </c>
      <c r="Y371" s="51" t="str">
        <f t="shared" si="184"/>
        <v>No</v>
      </c>
      <c r="Z371" s="49" t="s">
        <v>29</v>
      </c>
      <c r="AA371" s="49" t="s">
        <v>29</v>
      </c>
      <c r="AB371" s="49" t="s">
        <v>29</v>
      </c>
      <c r="AC371" s="46" t="s">
        <v>151</v>
      </c>
      <c r="AD371" s="46" t="s">
        <v>152</v>
      </c>
      <c r="AE371" s="46" t="s">
        <v>89</v>
      </c>
      <c r="AF371" s="46" t="s">
        <v>29</v>
      </c>
      <c r="AG371" s="103"/>
      <c r="AH371" s="52">
        <v>16537</v>
      </c>
      <c r="AI371" s="52">
        <v>16537</v>
      </c>
      <c r="AJ371" s="108">
        <v>67.78</v>
      </c>
      <c r="AK371" s="104">
        <v>135.56</v>
      </c>
      <c r="AL371" s="108">
        <v>67.78</v>
      </c>
      <c r="AM371" s="108"/>
      <c r="AN371" s="53">
        <f t="shared" si="185"/>
        <v>135.56</v>
      </c>
      <c r="AO371" s="53">
        <v>25.08</v>
      </c>
      <c r="AP371" s="108"/>
      <c r="AQ371" s="108"/>
      <c r="AR371" s="108"/>
      <c r="AS371" s="108"/>
      <c r="AT371" s="108"/>
      <c r="AU371" s="108"/>
      <c r="AV371" s="108"/>
      <c r="AW371" s="108"/>
      <c r="AX371" s="108"/>
      <c r="AY371" s="108"/>
      <c r="AZ371" s="108"/>
      <c r="BA371" s="108"/>
      <c r="BB371" s="108"/>
      <c r="BC371" s="108"/>
      <c r="BD371" s="108"/>
      <c r="BE371" s="108"/>
      <c r="BF371" s="108"/>
      <c r="BG371" s="108"/>
      <c r="BH371" s="108"/>
      <c r="BI371" s="108"/>
      <c r="BJ371" s="108"/>
      <c r="BK371" s="108"/>
      <c r="BL371" s="108"/>
      <c r="BM371" s="108"/>
      <c r="BN371" s="108"/>
      <c r="BO371" s="108"/>
      <c r="BP371" s="108"/>
      <c r="BQ371" s="108"/>
      <c r="BR371" s="108"/>
      <c r="BS371" s="54" t="s">
        <v>29</v>
      </c>
      <c r="BT371" s="45" t="str">
        <f t="shared" si="189"/>
        <v>No</v>
      </c>
      <c r="BU371" s="45" t="str">
        <f t="shared" si="190"/>
        <v>No</v>
      </c>
      <c r="BV371" s="45" t="str">
        <f t="shared" si="191"/>
        <v>No</v>
      </c>
      <c r="BW371" s="55">
        <v>73.34541999999999</v>
      </c>
      <c r="BX371" s="55">
        <v>73.630560400000007</v>
      </c>
      <c r="BY371" s="55">
        <v>71.415419999999997</v>
      </c>
      <c r="BZ371" s="55">
        <f t="shared" si="192"/>
        <v>71.700560400000001</v>
      </c>
      <c r="CA371" s="45">
        <v>2012</v>
      </c>
      <c r="CB371" s="55">
        <f t="shared" si="187"/>
        <v>25.507072015794424</v>
      </c>
      <c r="CC371" s="46" t="s">
        <v>281</v>
      </c>
      <c r="CD371" s="46" t="s">
        <v>151</v>
      </c>
      <c r="CE371" s="46" t="s">
        <v>783</v>
      </c>
      <c r="CF371" s="46">
        <v>2</v>
      </c>
      <c r="CG371" s="46" t="str">
        <f t="shared" si="186"/>
        <v>Yes</v>
      </c>
      <c r="CH371" s="46" t="s">
        <v>35</v>
      </c>
      <c r="CI371" s="56">
        <v>25</v>
      </c>
      <c r="CJ371" s="46">
        <v>50</v>
      </c>
      <c r="CK371" s="46" t="s">
        <v>23</v>
      </c>
      <c r="CL371" s="49" t="s">
        <v>29</v>
      </c>
      <c r="CM371" s="50">
        <v>0</v>
      </c>
      <c r="CN371" s="50"/>
      <c r="CO371" s="50"/>
      <c r="CP371" s="46" t="s">
        <v>23</v>
      </c>
      <c r="CQ371" s="46" t="s">
        <v>24</v>
      </c>
      <c r="CR371" s="46">
        <v>11</v>
      </c>
      <c r="CS371" s="46" t="s">
        <v>854</v>
      </c>
      <c r="CT371" s="46" t="s">
        <v>856</v>
      </c>
      <c r="CU371" s="46" t="s">
        <v>29</v>
      </c>
      <c r="CV371" s="46" t="s">
        <v>23</v>
      </c>
      <c r="CW371" s="46" t="s">
        <v>23</v>
      </c>
      <c r="CX371" s="49" t="s">
        <v>926</v>
      </c>
      <c r="CY371" s="49" t="s">
        <v>295</v>
      </c>
      <c r="CZ371" s="49">
        <v>0</v>
      </c>
      <c r="DA371" s="49">
        <v>0</v>
      </c>
      <c r="DB371" s="64">
        <v>64833</v>
      </c>
      <c r="DC371" s="58">
        <v>56.699999999999996</v>
      </c>
      <c r="DD371" s="58">
        <v>3.39</v>
      </c>
      <c r="DE371" s="58">
        <v>23.369999999999997</v>
      </c>
      <c r="DF371" s="58">
        <v>13.01</v>
      </c>
      <c r="DG371" s="58">
        <v>3.5414063825520952</v>
      </c>
      <c r="DH371" s="58">
        <v>43.300000000000004</v>
      </c>
      <c r="DI371" s="45" t="s">
        <v>29</v>
      </c>
      <c r="DJ371" s="59" t="str">
        <f t="shared" si="188"/>
        <v>N/A</v>
      </c>
      <c r="DK371" s="65">
        <v>64833</v>
      </c>
      <c r="DL371" s="58">
        <v>56.699999999999996</v>
      </c>
      <c r="DM371" s="58">
        <v>3.39</v>
      </c>
      <c r="DN371" s="58">
        <v>23.369999999999997</v>
      </c>
      <c r="DO371" s="58">
        <v>43.300000000000004</v>
      </c>
      <c r="DP371" s="66">
        <v>49.7</v>
      </c>
      <c r="DQ371" s="67">
        <v>83787</v>
      </c>
      <c r="DR371" s="53">
        <v>11.8</v>
      </c>
      <c r="DS371" s="58">
        <v>72.8</v>
      </c>
      <c r="DT371" s="53">
        <v>57.4</v>
      </c>
      <c r="DU371" s="55">
        <v>3.13</v>
      </c>
      <c r="DV371" s="50">
        <v>35.9</v>
      </c>
      <c r="DW371" s="53">
        <v>82.5</v>
      </c>
      <c r="DX371" s="53">
        <v>82.56</v>
      </c>
      <c r="DY371" s="53">
        <v>53.338099999999997</v>
      </c>
      <c r="DZ371" s="63"/>
    </row>
    <row r="372" spans="1:130" s="5" customFormat="1" ht="14.25" hidden="1" customHeight="1">
      <c r="A372" s="45">
        <v>1297</v>
      </c>
      <c r="B372" s="46" t="s">
        <v>292</v>
      </c>
      <c r="C372" s="47">
        <v>2012</v>
      </c>
      <c r="D372" s="47" t="s">
        <v>85</v>
      </c>
      <c r="E372" s="46" t="s">
        <v>86</v>
      </c>
      <c r="F372" s="46">
        <v>4</v>
      </c>
      <c r="G372" s="48">
        <v>85000</v>
      </c>
      <c r="H372" s="46" t="s">
        <v>249</v>
      </c>
      <c r="I372" s="46">
        <v>1</v>
      </c>
      <c r="J372" s="47">
        <v>3</v>
      </c>
      <c r="K372" s="45" t="s">
        <v>305</v>
      </c>
      <c r="L372" s="45" t="s">
        <v>40</v>
      </c>
      <c r="M372" s="49" t="s">
        <v>35</v>
      </c>
      <c r="N372" s="49" t="s">
        <v>513</v>
      </c>
      <c r="O372" s="49"/>
      <c r="P372" s="45" t="s">
        <v>31</v>
      </c>
      <c r="Q372" s="49" t="s">
        <v>29</v>
      </c>
      <c r="R372" s="49">
        <v>2</v>
      </c>
      <c r="S372" s="50">
        <f t="shared" si="181"/>
        <v>66.666666666666657</v>
      </c>
      <c r="T372" s="49">
        <v>2</v>
      </c>
      <c r="U372" s="50">
        <f t="shared" si="182"/>
        <v>66.666666666666657</v>
      </c>
      <c r="V372" s="49" t="s">
        <v>799</v>
      </c>
      <c r="W372" s="49">
        <v>1</v>
      </c>
      <c r="X372" s="50">
        <f t="shared" si="183"/>
        <v>33.333333333333329</v>
      </c>
      <c r="Y372" s="51" t="str">
        <f t="shared" si="184"/>
        <v>No</v>
      </c>
      <c r="Z372" s="49" t="s">
        <v>29</v>
      </c>
      <c r="AA372" s="49" t="s">
        <v>29</v>
      </c>
      <c r="AB372" s="45" t="s">
        <v>35</v>
      </c>
      <c r="AC372" s="47" t="s">
        <v>26</v>
      </c>
      <c r="AD372" s="46" t="s">
        <v>27</v>
      </c>
      <c r="AE372" s="46" t="s">
        <v>89</v>
      </c>
      <c r="AF372" s="46" t="s">
        <v>29</v>
      </c>
      <c r="AG372" s="103">
        <v>36161</v>
      </c>
      <c r="AH372" s="52">
        <v>15130</v>
      </c>
      <c r="AI372" s="52">
        <v>31919</v>
      </c>
      <c r="AJ372" s="108">
        <v>47.87</v>
      </c>
      <c r="AK372" s="104">
        <v>95.74</v>
      </c>
      <c r="AL372" s="108">
        <v>54.3</v>
      </c>
      <c r="AM372" s="108"/>
      <c r="AN372" s="53">
        <f t="shared" si="185"/>
        <v>108.6</v>
      </c>
      <c r="AO372" s="53">
        <v>28.27</v>
      </c>
      <c r="AP372" s="108">
        <v>4242</v>
      </c>
      <c r="AQ372" s="108">
        <v>11.730870274605238</v>
      </c>
      <c r="AR372" s="108"/>
      <c r="AS372" s="108"/>
      <c r="AT372" s="108"/>
      <c r="AU372" s="108"/>
      <c r="AV372" s="108"/>
      <c r="AW372" s="108"/>
      <c r="AX372" s="108"/>
      <c r="AY372" s="108"/>
      <c r="AZ372" s="108"/>
      <c r="BA372" s="108"/>
      <c r="BB372" s="108"/>
      <c r="BC372" s="108"/>
      <c r="BD372" s="108"/>
      <c r="BE372" s="108"/>
      <c r="BF372" s="108"/>
      <c r="BG372" s="108"/>
      <c r="BH372" s="108"/>
      <c r="BI372" s="108"/>
      <c r="BJ372" s="108"/>
      <c r="BK372" s="108"/>
      <c r="BL372" s="108"/>
      <c r="BM372" s="108"/>
      <c r="BN372" s="108"/>
      <c r="BO372" s="108"/>
      <c r="BP372" s="108"/>
      <c r="BQ372" s="108"/>
      <c r="BR372" s="108"/>
      <c r="BS372" s="54" t="s">
        <v>29</v>
      </c>
      <c r="BT372" s="45" t="str">
        <f t="shared" si="189"/>
        <v>Yes</v>
      </c>
      <c r="BU372" s="45" t="str">
        <f t="shared" si="190"/>
        <v>No</v>
      </c>
      <c r="BV372" s="45" t="str">
        <f t="shared" si="191"/>
        <v>No</v>
      </c>
      <c r="BW372" s="55">
        <v>73.34541999999999</v>
      </c>
      <c r="BX372" s="55">
        <v>72.925314200000003</v>
      </c>
      <c r="BY372" s="55">
        <v>71.415419999999997</v>
      </c>
      <c r="BZ372" s="55">
        <f t="shared" si="192"/>
        <v>70.995314199999996</v>
      </c>
      <c r="CA372" s="45">
        <v>2012</v>
      </c>
      <c r="CB372" s="55">
        <f t="shared" si="187"/>
        <v>49.559047293730394</v>
      </c>
      <c r="CC372" s="46" t="s">
        <v>281</v>
      </c>
      <c r="CD372" s="46" t="s">
        <v>151</v>
      </c>
      <c r="CE372" s="46" t="s">
        <v>783</v>
      </c>
      <c r="CF372" s="46">
        <v>2</v>
      </c>
      <c r="CG372" s="46" t="str">
        <f t="shared" si="186"/>
        <v>Yes</v>
      </c>
      <c r="CH372" s="46" t="s">
        <v>35</v>
      </c>
      <c r="CI372" s="56">
        <v>25</v>
      </c>
      <c r="CJ372" s="46">
        <v>50</v>
      </c>
      <c r="CK372" s="46" t="s">
        <v>23</v>
      </c>
      <c r="CL372" s="49" t="s">
        <v>29</v>
      </c>
      <c r="CM372" s="50">
        <v>0</v>
      </c>
      <c r="CN372" s="50"/>
      <c r="CO372" s="50"/>
      <c r="CP372" s="46" t="s">
        <v>23</v>
      </c>
      <c r="CQ372" s="46" t="s">
        <v>24</v>
      </c>
      <c r="CR372" s="46">
        <v>11</v>
      </c>
      <c r="CS372" s="46" t="s">
        <v>854</v>
      </c>
      <c r="CT372" s="46" t="s">
        <v>856</v>
      </c>
      <c r="CU372" s="46" t="s">
        <v>29</v>
      </c>
      <c r="CV372" s="46" t="s">
        <v>23</v>
      </c>
      <c r="CW372" s="46" t="s">
        <v>23</v>
      </c>
      <c r="CX372" s="49" t="s">
        <v>926</v>
      </c>
      <c r="CY372" s="49" t="s">
        <v>295</v>
      </c>
      <c r="CZ372" s="49">
        <v>0</v>
      </c>
      <c r="DA372" s="49">
        <v>0</v>
      </c>
      <c r="DB372" s="64">
        <v>64406</v>
      </c>
      <c r="DC372" s="58">
        <v>21.61</v>
      </c>
      <c r="DD372" s="58">
        <v>2.81</v>
      </c>
      <c r="DE372" s="58">
        <v>21.8</v>
      </c>
      <c r="DF372" s="58">
        <v>51.54</v>
      </c>
      <c r="DG372" s="58">
        <v>2.215632083967332</v>
      </c>
      <c r="DH372" s="58">
        <v>78.39</v>
      </c>
      <c r="DI372" s="45" t="s">
        <v>35</v>
      </c>
      <c r="DJ372" s="59" t="str">
        <f t="shared" si="188"/>
        <v>Asian</v>
      </c>
      <c r="DK372" s="65">
        <v>64406</v>
      </c>
      <c r="DL372" s="58">
        <v>21.61</v>
      </c>
      <c r="DM372" s="58">
        <v>2.81</v>
      </c>
      <c r="DN372" s="58">
        <v>21.8</v>
      </c>
      <c r="DO372" s="58">
        <v>78.39</v>
      </c>
      <c r="DP372" s="66">
        <v>49.7</v>
      </c>
      <c r="DQ372" s="67">
        <v>83787</v>
      </c>
      <c r="DR372" s="53">
        <v>11.8</v>
      </c>
      <c r="DS372" s="58">
        <v>72.8</v>
      </c>
      <c r="DT372" s="53">
        <v>57.4</v>
      </c>
      <c r="DU372" s="55">
        <v>3.13</v>
      </c>
      <c r="DV372" s="50">
        <v>35.9</v>
      </c>
      <c r="DW372" s="53">
        <v>82.5</v>
      </c>
      <c r="DX372" s="53">
        <v>82.56</v>
      </c>
      <c r="DY372" s="53">
        <v>53.338099999999997</v>
      </c>
      <c r="DZ372" s="63"/>
    </row>
    <row r="373" spans="1:130" s="5" customFormat="1" ht="14.25" hidden="1" customHeight="1">
      <c r="A373" s="45">
        <v>1289</v>
      </c>
      <c r="B373" s="46" t="s">
        <v>292</v>
      </c>
      <c r="C373" s="47">
        <v>2014</v>
      </c>
      <c r="D373" s="47" t="s">
        <v>76</v>
      </c>
      <c r="E373" s="46" t="s">
        <v>77</v>
      </c>
      <c r="F373" s="46">
        <v>4</v>
      </c>
      <c r="G373" s="48">
        <v>85000</v>
      </c>
      <c r="H373" s="46" t="s">
        <v>249</v>
      </c>
      <c r="I373" s="46">
        <v>1</v>
      </c>
      <c r="J373" s="47">
        <v>7</v>
      </c>
      <c r="K373" s="45" t="s">
        <v>296</v>
      </c>
      <c r="L373" s="45" t="s">
        <v>30</v>
      </c>
      <c r="M373" s="49" t="s">
        <v>29</v>
      </c>
      <c r="N373" s="49" t="s">
        <v>512</v>
      </c>
      <c r="O373" s="49">
        <v>2014</v>
      </c>
      <c r="P373" s="45" t="s">
        <v>201</v>
      </c>
      <c r="Q373" s="49" t="s">
        <v>35</v>
      </c>
      <c r="R373" s="49">
        <v>1</v>
      </c>
      <c r="S373" s="50">
        <f t="shared" si="181"/>
        <v>14.285714285714285</v>
      </c>
      <c r="T373" s="49">
        <v>2</v>
      </c>
      <c r="U373" s="50">
        <f t="shared" si="182"/>
        <v>28.571428571428569</v>
      </c>
      <c r="V373" s="49" t="s">
        <v>891</v>
      </c>
      <c r="W373" s="49">
        <v>0</v>
      </c>
      <c r="X373" s="50">
        <f t="shared" si="183"/>
        <v>0</v>
      </c>
      <c r="Y373" s="51" t="str">
        <f t="shared" si="184"/>
        <v>No</v>
      </c>
      <c r="Z373" s="49" t="s">
        <v>35</v>
      </c>
      <c r="AA373" s="49" t="s">
        <v>23</v>
      </c>
      <c r="AB373" s="49" t="s">
        <v>23</v>
      </c>
      <c r="AC373" s="46" t="s">
        <v>26</v>
      </c>
      <c r="AD373" s="46" t="s">
        <v>27</v>
      </c>
      <c r="AE373" s="46" t="s">
        <v>73</v>
      </c>
      <c r="AF373" s="46" t="s">
        <v>29</v>
      </c>
      <c r="AG373" s="103">
        <v>19606</v>
      </c>
      <c r="AH373" s="52">
        <v>12311</v>
      </c>
      <c r="AI373" s="52">
        <v>17381</v>
      </c>
      <c r="AJ373" s="108">
        <v>22.78</v>
      </c>
      <c r="AK373" s="104">
        <v>45.56</v>
      </c>
      <c r="AL373" s="108">
        <v>59.32</v>
      </c>
      <c r="AM373" s="108"/>
      <c r="AN373" s="53">
        <f t="shared" si="185"/>
        <v>118.64</v>
      </c>
      <c r="AO373" s="53">
        <v>29.04</v>
      </c>
      <c r="AP373" s="108">
        <v>2225</v>
      </c>
      <c r="AQ373" s="108">
        <v>11.348566765275937</v>
      </c>
      <c r="AR373" s="108"/>
      <c r="AS373" s="108"/>
      <c r="AT373" s="108"/>
      <c r="AU373" s="108"/>
      <c r="AV373" s="102"/>
      <c r="AW373" s="102"/>
      <c r="AX373" s="108"/>
      <c r="AY373" s="108"/>
      <c r="AZ373" s="108"/>
      <c r="BA373" s="108"/>
      <c r="BB373" s="108"/>
      <c r="BC373" s="108"/>
      <c r="BD373" s="108"/>
      <c r="BE373" s="108"/>
      <c r="BF373" s="108"/>
      <c r="BG373" s="108"/>
      <c r="BH373" s="108"/>
      <c r="BI373" s="108"/>
      <c r="BJ373" s="102"/>
      <c r="BK373" s="102"/>
      <c r="BL373" s="102"/>
      <c r="BM373" s="102"/>
      <c r="BN373" s="108"/>
      <c r="BO373" s="108"/>
      <c r="BP373" s="108"/>
      <c r="BQ373" s="108"/>
      <c r="BR373" s="102"/>
      <c r="BS373" s="54" t="s">
        <v>35</v>
      </c>
      <c r="BT373" s="45" t="str">
        <f t="shared" si="189"/>
        <v>Yes</v>
      </c>
      <c r="BU373" s="45" t="str">
        <f t="shared" si="190"/>
        <v>Yes</v>
      </c>
      <c r="BV373" s="45" t="str">
        <f t="shared" si="191"/>
        <v>No</v>
      </c>
      <c r="BW373" s="55">
        <v>73.34541999999999</v>
      </c>
      <c r="BX373" s="55">
        <v>72.820545899999999</v>
      </c>
      <c r="BY373" s="55">
        <v>71.415419999999997</v>
      </c>
      <c r="BZ373" s="55">
        <f t="shared" si="192"/>
        <v>70.890545899999992</v>
      </c>
      <c r="CA373" s="45">
        <v>2012</v>
      </c>
      <c r="CB373" s="55">
        <f t="shared" si="187"/>
        <v>31.306963507330956</v>
      </c>
      <c r="CC373" s="46" t="s">
        <v>281</v>
      </c>
      <c r="CD373" s="46" t="s">
        <v>151</v>
      </c>
      <c r="CE373" s="46" t="s">
        <v>783</v>
      </c>
      <c r="CF373" s="46">
        <v>2</v>
      </c>
      <c r="CG373" s="46" t="str">
        <f t="shared" si="186"/>
        <v>Yes</v>
      </c>
      <c r="CH373" s="46" t="s">
        <v>35</v>
      </c>
      <c r="CI373" s="56">
        <v>25</v>
      </c>
      <c r="CJ373" s="46">
        <v>50</v>
      </c>
      <c r="CK373" s="46" t="s">
        <v>23</v>
      </c>
      <c r="CL373" s="49" t="s">
        <v>29</v>
      </c>
      <c r="CM373" s="50">
        <v>0</v>
      </c>
      <c r="CN373" s="50"/>
      <c r="CO373" s="50"/>
      <c r="CP373" s="46" t="s">
        <v>23</v>
      </c>
      <c r="CQ373" s="46" t="s">
        <v>24</v>
      </c>
      <c r="CR373" s="46">
        <v>11</v>
      </c>
      <c r="CS373" s="46" t="s">
        <v>854</v>
      </c>
      <c r="CT373" s="46" t="s">
        <v>856</v>
      </c>
      <c r="CU373" s="46" t="s">
        <v>29</v>
      </c>
      <c r="CV373" s="46" t="s">
        <v>23</v>
      </c>
      <c r="CW373" s="46" t="s">
        <v>23</v>
      </c>
      <c r="CX373" s="49" t="s">
        <v>294</v>
      </c>
      <c r="CY373" s="49" t="s">
        <v>295</v>
      </c>
      <c r="CZ373" s="49">
        <v>0</v>
      </c>
      <c r="DA373" s="49">
        <v>0</v>
      </c>
      <c r="DB373" s="64">
        <v>55518</v>
      </c>
      <c r="DC373" s="58">
        <v>47.589999999999996</v>
      </c>
      <c r="DD373" s="58">
        <v>3.7699999999999996</v>
      </c>
      <c r="DE373" s="58">
        <v>12.34</v>
      </c>
      <c r="DF373" s="58">
        <v>33.229999999999997</v>
      </c>
      <c r="DG373" s="58">
        <v>2.9738102957599337</v>
      </c>
      <c r="DH373" s="58">
        <v>52.410000000000004</v>
      </c>
      <c r="DI373" s="45" t="s">
        <v>35</v>
      </c>
      <c r="DJ373" s="59" t="str">
        <f t="shared" si="188"/>
        <v>No single majority group</v>
      </c>
      <c r="DK373" s="65">
        <v>55518</v>
      </c>
      <c r="DL373" s="58">
        <v>47.589999999999996</v>
      </c>
      <c r="DM373" s="58">
        <v>3.7699999999999996</v>
      </c>
      <c r="DN373" s="58">
        <v>12.34</v>
      </c>
      <c r="DO373" s="58">
        <v>52.410000000000004</v>
      </c>
      <c r="DP373" s="66">
        <v>49.7</v>
      </c>
      <c r="DQ373" s="67">
        <v>83787</v>
      </c>
      <c r="DR373" s="53">
        <v>11.8</v>
      </c>
      <c r="DS373" s="58">
        <v>72.8</v>
      </c>
      <c r="DT373" s="53">
        <v>57.4</v>
      </c>
      <c r="DU373" s="55">
        <v>3.13</v>
      </c>
      <c r="DV373" s="102">
        <v>35.9</v>
      </c>
      <c r="DW373" s="53">
        <v>82.5</v>
      </c>
      <c r="DX373" s="53">
        <v>82.56</v>
      </c>
      <c r="DY373" s="53">
        <v>53.338099999999997</v>
      </c>
      <c r="DZ373" s="63"/>
    </row>
    <row r="374" spans="1:130" s="5" customFormat="1" ht="14.25" hidden="1" customHeight="1">
      <c r="A374" s="45">
        <v>1290</v>
      </c>
      <c r="B374" s="46" t="s">
        <v>292</v>
      </c>
      <c r="C374" s="47">
        <v>2014</v>
      </c>
      <c r="D374" s="47" t="s">
        <v>94</v>
      </c>
      <c r="E374" s="46" t="s">
        <v>95</v>
      </c>
      <c r="F374" s="46">
        <v>4</v>
      </c>
      <c r="G374" s="48">
        <v>85000</v>
      </c>
      <c r="H374" s="46" t="s">
        <v>249</v>
      </c>
      <c r="I374" s="46">
        <v>1</v>
      </c>
      <c r="J374" s="47">
        <v>6</v>
      </c>
      <c r="K374" s="45" t="s">
        <v>297</v>
      </c>
      <c r="L374" s="45" t="s">
        <v>30</v>
      </c>
      <c r="M374" s="49" t="s">
        <v>29</v>
      </c>
      <c r="N374" s="49" t="s">
        <v>512</v>
      </c>
      <c r="O374" s="49">
        <v>2014</v>
      </c>
      <c r="P374" s="45" t="s">
        <v>857</v>
      </c>
      <c r="Q374" s="49" t="s">
        <v>35</v>
      </c>
      <c r="R374" s="49">
        <v>1</v>
      </c>
      <c r="S374" s="50">
        <f t="shared" si="181"/>
        <v>16.666666666666664</v>
      </c>
      <c r="T374" s="49">
        <v>3</v>
      </c>
      <c r="U374" s="50">
        <f t="shared" si="182"/>
        <v>50</v>
      </c>
      <c r="V374" s="49" t="s">
        <v>800</v>
      </c>
      <c r="W374" s="49">
        <v>1</v>
      </c>
      <c r="X374" s="50">
        <f t="shared" si="183"/>
        <v>16.666666666666664</v>
      </c>
      <c r="Y374" s="51" t="str">
        <f t="shared" si="184"/>
        <v>No</v>
      </c>
      <c r="Z374" s="49" t="s">
        <v>35</v>
      </c>
      <c r="AA374" s="49" t="s">
        <v>23</v>
      </c>
      <c r="AB374" s="49" t="s">
        <v>23</v>
      </c>
      <c r="AC374" s="46" t="s">
        <v>26</v>
      </c>
      <c r="AD374" s="46" t="s">
        <v>27</v>
      </c>
      <c r="AE374" s="46" t="s">
        <v>73</v>
      </c>
      <c r="AF374" s="46" t="s">
        <v>29</v>
      </c>
      <c r="AG374" s="103">
        <v>14184</v>
      </c>
      <c r="AH374" s="52">
        <v>8988</v>
      </c>
      <c r="AI374" s="52">
        <v>12860</v>
      </c>
      <c r="AJ374" s="108">
        <v>27.74</v>
      </c>
      <c r="AK374" s="104">
        <v>55.48</v>
      </c>
      <c r="AL374" s="108">
        <v>59.14</v>
      </c>
      <c r="AM374" s="108"/>
      <c r="AN374" s="53">
        <f t="shared" si="185"/>
        <v>118.28</v>
      </c>
      <c r="AO374" s="53">
        <v>24.24</v>
      </c>
      <c r="AP374" s="108">
        <v>1324</v>
      </c>
      <c r="AQ374" s="108">
        <v>9.3344613649182175</v>
      </c>
      <c r="AR374" s="108"/>
      <c r="AS374" s="108"/>
      <c r="AT374" s="108"/>
      <c r="AU374" s="108"/>
      <c r="AV374" s="50"/>
      <c r="AW374" s="50"/>
      <c r="AX374" s="108"/>
      <c r="AY374" s="108"/>
      <c r="AZ374" s="108"/>
      <c r="BA374" s="108"/>
      <c r="BB374" s="108"/>
      <c r="BC374" s="108"/>
      <c r="BD374" s="108"/>
      <c r="BE374" s="108"/>
      <c r="BF374" s="108"/>
      <c r="BG374" s="108"/>
      <c r="BH374" s="108"/>
      <c r="BI374" s="108"/>
      <c r="BJ374" s="50"/>
      <c r="BK374" s="50"/>
      <c r="BL374" s="50"/>
      <c r="BM374" s="50"/>
      <c r="BN374" s="108"/>
      <c r="BO374" s="108"/>
      <c r="BP374" s="108"/>
      <c r="BQ374" s="108"/>
      <c r="BR374" s="102"/>
      <c r="BS374" s="54" t="s">
        <v>29</v>
      </c>
      <c r="BT374" s="45" t="str">
        <f t="shared" si="189"/>
        <v>Yes</v>
      </c>
      <c r="BU374" s="45" t="str">
        <f t="shared" si="190"/>
        <v>Yes</v>
      </c>
      <c r="BV374" s="45" t="str">
        <f t="shared" si="191"/>
        <v>Yes</v>
      </c>
      <c r="BW374" s="55">
        <v>73.34541999999999</v>
      </c>
      <c r="BX374" s="55">
        <v>84.426837399999997</v>
      </c>
      <c r="BY374" s="55">
        <v>71.415419999999997</v>
      </c>
      <c r="BZ374" s="55">
        <f t="shared" si="192"/>
        <v>82.49683739999999</v>
      </c>
      <c r="CA374" s="45">
        <v>2012</v>
      </c>
      <c r="CB374" s="55">
        <f t="shared" si="187"/>
        <v>21.988544071129347</v>
      </c>
      <c r="CC374" s="46" t="s">
        <v>281</v>
      </c>
      <c r="CD374" s="46" t="s">
        <v>151</v>
      </c>
      <c r="CE374" s="46" t="s">
        <v>783</v>
      </c>
      <c r="CF374" s="46">
        <v>2</v>
      </c>
      <c r="CG374" s="46" t="str">
        <f t="shared" si="186"/>
        <v>Yes</v>
      </c>
      <c r="CH374" s="46" t="s">
        <v>35</v>
      </c>
      <c r="CI374" s="56">
        <v>25</v>
      </c>
      <c r="CJ374" s="46">
        <v>50</v>
      </c>
      <c r="CK374" s="46" t="s">
        <v>23</v>
      </c>
      <c r="CL374" s="49" t="s">
        <v>29</v>
      </c>
      <c r="CM374" s="50">
        <v>0</v>
      </c>
      <c r="CN374" s="50"/>
      <c r="CO374" s="50"/>
      <c r="CP374" s="46" t="s">
        <v>23</v>
      </c>
      <c r="CQ374" s="46" t="s">
        <v>24</v>
      </c>
      <c r="CR374" s="46">
        <v>11</v>
      </c>
      <c r="CS374" s="46" t="s">
        <v>854</v>
      </c>
      <c r="CT374" s="46" t="s">
        <v>856</v>
      </c>
      <c r="CU374" s="46" t="s">
        <v>29</v>
      </c>
      <c r="CV374" s="46" t="s">
        <v>23</v>
      </c>
      <c r="CW374" s="46" t="s">
        <v>23</v>
      </c>
      <c r="CX374" s="49" t="s">
        <v>294</v>
      </c>
      <c r="CY374" s="49" t="s">
        <v>295</v>
      </c>
      <c r="CZ374" s="49">
        <v>0</v>
      </c>
      <c r="DA374" s="49">
        <v>0</v>
      </c>
      <c r="DB374" s="64">
        <v>58485</v>
      </c>
      <c r="DC374" s="58">
        <v>33.4</v>
      </c>
      <c r="DD374" s="58">
        <v>4.3900000000000006</v>
      </c>
      <c r="DE374" s="58">
        <v>36.83</v>
      </c>
      <c r="DF374" s="58">
        <v>21.83</v>
      </c>
      <c r="DG374" s="58">
        <v>3.4932033854834574</v>
      </c>
      <c r="DH374" s="58">
        <v>66.599999999999994</v>
      </c>
      <c r="DI374" s="45" t="s">
        <v>35</v>
      </c>
      <c r="DJ374" s="59" t="str">
        <f t="shared" si="188"/>
        <v>No single majority group</v>
      </c>
      <c r="DK374" s="65">
        <v>58485</v>
      </c>
      <c r="DL374" s="58">
        <v>33.4</v>
      </c>
      <c r="DM374" s="58">
        <v>4.3900000000000006</v>
      </c>
      <c r="DN374" s="58">
        <v>36.83</v>
      </c>
      <c r="DO374" s="58">
        <v>66.599999999999994</v>
      </c>
      <c r="DP374" s="66">
        <v>49.7</v>
      </c>
      <c r="DQ374" s="67">
        <v>83787</v>
      </c>
      <c r="DR374" s="53">
        <v>11.8</v>
      </c>
      <c r="DS374" s="58">
        <v>72.8</v>
      </c>
      <c r="DT374" s="53">
        <v>57.4</v>
      </c>
      <c r="DU374" s="55">
        <v>3.13</v>
      </c>
      <c r="DV374" s="102">
        <v>35.9</v>
      </c>
      <c r="DW374" s="53">
        <v>82.5</v>
      </c>
      <c r="DX374" s="53">
        <v>82.56</v>
      </c>
      <c r="DY374" s="53">
        <v>53.338099999999997</v>
      </c>
      <c r="DZ374" s="63"/>
    </row>
    <row r="375" spans="1:130" s="5" customFormat="1" ht="14.25" hidden="1" customHeight="1">
      <c r="A375" s="45">
        <v>1291</v>
      </c>
      <c r="B375" s="46" t="s">
        <v>292</v>
      </c>
      <c r="C375" s="47">
        <v>2014</v>
      </c>
      <c r="D375" s="47" t="s">
        <v>97</v>
      </c>
      <c r="E375" s="46" t="s">
        <v>98</v>
      </c>
      <c r="F375" s="46">
        <v>4</v>
      </c>
      <c r="G375" s="48">
        <v>85000</v>
      </c>
      <c r="H375" s="46" t="s">
        <v>249</v>
      </c>
      <c r="I375" s="46">
        <v>1</v>
      </c>
      <c r="J375" s="47">
        <v>3</v>
      </c>
      <c r="K375" s="45" t="s">
        <v>298</v>
      </c>
      <c r="L375" s="45" t="s">
        <v>40</v>
      </c>
      <c r="M375" s="49" t="s">
        <v>35</v>
      </c>
      <c r="N375" s="49" t="s">
        <v>618</v>
      </c>
      <c r="O375" s="49">
        <v>2014</v>
      </c>
      <c r="P375" s="45" t="s">
        <v>857</v>
      </c>
      <c r="Q375" s="49" t="s">
        <v>35</v>
      </c>
      <c r="R375" s="49">
        <v>1</v>
      </c>
      <c r="S375" s="50">
        <f t="shared" si="181"/>
        <v>33.333333333333329</v>
      </c>
      <c r="T375" s="49">
        <v>3</v>
      </c>
      <c r="U375" s="50">
        <f t="shared" si="182"/>
        <v>100</v>
      </c>
      <c r="V375" s="49" t="s">
        <v>791</v>
      </c>
      <c r="W375" s="49">
        <v>1</v>
      </c>
      <c r="X375" s="50">
        <f t="shared" si="183"/>
        <v>33.333333333333329</v>
      </c>
      <c r="Y375" s="51" t="str">
        <f t="shared" si="184"/>
        <v>Yes</v>
      </c>
      <c r="Z375" s="49" t="s">
        <v>29</v>
      </c>
      <c r="AA375" s="49" t="s">
        <v>35</v>
      </c>
      <c r="AB375" s="49" t="s">
        <v>29</v>
      </c>
      <c r="AC375" s="46" t="s">
        <v>151</v>
      </c>
      <c r="AD375" s="46" t="s">
        <v>152</v>
      </c>
      <c r="AE375" s="46" t="s">
        <v>73</v>
      </c>
      <c r="AF375" s="46" t="s">
        <v>29</v>
      </c>
      <c r="AG375" s="103">
        <v>9023</v>
      </c>
      <c r="AH375" s="52">
        <v>8221</v>
      </c>
      <c r="AI375" s="52">
        <v>8221</v>
      </c>
      <c r="AJ375" s="108">
        <v>53.14</v>
      </c>
      <c r="AK375" s="104">
        <v>106.28</v>
      </c>
      <c r="AL375" s="108">
        <v>53.14</v>
      </c>
      <c r="AM375" s="108"/>
      <c r="AN375" s="53">
        <f t="shared" si="185"/>
        <v>106.28</v>
      </c>
      <c r="AO375" s="53">
        <v>33.380000000000003</v>
      </c>
      <c r="AP375" s="108">
        <v>802</v>
      </c>
      <c r="AQ375" s="108">
        <v>8.8883963205142411</v>
      </c>
      <c r="AR375" s="108"/>
      <c r="AS375" s="108"/>
      <c r="AT375" s="108"/>
      <c r="AU375" s="108"/>
      <c r="AV375" s="108"/>
      <c r="AW375" s="108"/>
      <c r="AX375" s="108"/>
      <c r="AY375" s="108"/>
      <c r="AZ375" s="108"/>
      <c r="BA375" s="108"/>
      <c r="BB375" s="108"/>
      <c r="BC375" s="108"/>
      <c r="BD375" s="108"/>
      <c r="BE375" s="108"/>
      <c r="BF375" s="108"/>
      <c r="BG375" s="108"/>
      <c r="BH375" s="108"/>
      <c r="BI375" s="108"/>
      <c r="BJ375" s="108"/>
      <c r="BK375" s="108"/>
      <c r="BL375" s="108"/>
      <c r="BM375" s="108"/>
      <c r="BN375" s="108"/>
      <c r="BO375" s="108"/>
      <c r="BP375" s="108"/>
      <c r="BQ375" s="108"/>
      <c r="BR375" s="108"/>
      <c r="BS375" s="54" t="s">
        <v>29</v>
      </c>
      <c r="BT375" s="45" t="str">
        <f t="shared" si="189"/>
        <v>Yes</v>
      </c>
      <c r="BU375" s="45" t="str">
        <f t="shared" si="190"/>
        <v>No</v>
      </c>
      <c r="BV375" s="45" t="str">
        <f t="shared" si="191"/>
        <v>No</v>
      </c>
      <c r="BW375" s="55">
        <v>73.34541999999999</v>
      </c>
      <c r="BX375" s="55">
        <v>83.051070600000003</v>
      </c>
      <c r="BY375" s="55">
        <v>71.415419999999997</v>
      </c>
      <c r="BZ375" s="55">
        <f t="shared" si="192"/>
        <v>81.121070599999996</v>
      </c>
      <c r="CA375" s="45">
        <v>2012</v>
      </c>
      <c r="CB375" s="55">
        <f t="shared" si="187"/>
        <v>13.080766293279023</v>
      </c>
      <c r="CC375" s="46" t="s">
        <v>281</v>
      </c>
      <c r="CD375" s="46" t="s">
        <v>151</v>
      </c>
      <c r="CE375" s="46" t="s">
        <v>783</v>
      </c>
      <c r="CF375" s="46">
        <v>2</v>
      </c>
      <c r="CG375" s="46" t="str">
        <f t="shared" si="186"/>
        <v>Yes</v>
      </c>
      <c r="CH375" s="46" t="s">
        <v>35</v>
      </c>
      <c r="CI375" s="56">
        <v>25</v>
      </c>
      <c r="CJ375" s="46">
        <v>50</v>
      </c>
      <c r="CK375" s="46" t="s">
        <v>23</v>
      </c>
      <c r="CL375" s="49" t="s">
        <v>29</v>
      </c>
      <c r="CM375" s="50">
        <v>0</v>
      </c>
      <c r="CN375" s="50"/>
      <c r="CO375" s="50"/>
      <c r="CP375" s="46" t="s">
        <v>23</v>
      </c>
      <c r="CQ375" s="46" t="s">
        <v>24</v>
      </c>
      <c r="CR375" s="46">
        <v>11</v>
      </c>
      <c r="CS375" s="46" t="s">
        <v>854</v>
      </c>
      <c r="CT375" s="46" t="s">
        <v>856</v>
      </c>
      <c r="CU375" s="46" t="s">
        <v>29</v>
      </c>
      <c r="CV375" s="46" t="s">
        <v>23</v>
      </c>
      <c r="CW375" s="46" t="s">
        <v>23</v>
      </c>
      <c r="CX375" s="49" t="s">
        <v>294</v>
      </c>
      <c r="CY375" s="49" t="s">
        <v>295</v>
      </c>
      <c r="CZ375" s="49">
        <v>0</v>
      </c>
      <c r="DA375" s="49">
        <v>0</v>
      </c>
      <c r="DB375" s="64">
        <v>62848</v>
      </c>
      <c r="DC375" s="58">
        <v>19.509999999999998</v>
      </c>
      <c r="DD375" s="58">
        <v>3.9899999999999998</v>
      </c>
      <c r="DE375" s="58">
        <v>43.72</v>
      </c>
      <c r="DF375" s="58">
        <v>30.42</v>
      </c>
      <c r="DG375" s="58">
        <v>2.3755728105906315</v>
      </c>
      <c r="DH375" s="58">
        <v>80.489999999999995</v>
      </c>
      <c r="DI375" s="45" t="s">
        <v>35</v>
      </c>
      <c r="DJ375" s="59" t="str">
        <f t="shared" si="188"/>
        <v>No single majority group</v>
      </c>
      <c r="DK375" s="65">
        <v>62848</v>
      </c>
      <c r="DL375" s="58">
        <v>19.509999999999998</v>
      </c>
      <c r="DM375" s="58">
        <v>3.9899999999999998</v>
      </c>
      <c r="DN375" s="58">
        <v>43.72</v>
      </c>
      <c r="DO375" s="58">
        <v>80.489999999999995</v>
      </c>
      <c r="DP375" s="66">
        <v>49.7</v>
      </c>
      <c r="DQ375" s="67">
        <v>83787</v>
      </c>
      <c r="DR375" s="53">
        <v>11.8</v>
      </c>
      <c r="DS375" s="58">
        <v>72.8</v>
      </c>
      <c r="DT375" s="53">
        <v>57.4</v>
      </c>
      <c r="DU375" s="55">
        <v>3.13</v>
      </c>
      <c r="DV375" s="102">
        <v>35.9</v>
      </c>
      <c r="DW375" s="53">
        <v>82.5</v>
      </c>
      <c r="DX375" s="53">
        <v>82.56</v>
      </c>
      <c r="DY375" s="53">
        <v>53.338099999999997</v>
      </c>
      <c r="DZ375" s="63"/>
    </row>
    <row r="376" spans="1:130" s="5" customFormat="1" ht="14.25" hidden="1" customHeight="1">
      <c r="A376" s="45">
        <v>1292</v>
      </c>
      <c r="B376" s="46" t="s">
        <v>292</v>
      </c>
      <c r="C376" s="47">
        <v>2014</v>
      </c>
      <c r="D376" s="47" t="s">
        <v>82</v>
      </c>
      <c r="E376" s="46" t="s">
        <v>83</v>
      </c>
      <c r="F376" s="46">
        <v>4</v>
      </c>
      <c r="G376" s="48">
        <v>85000</v>
      </c>
      <c r="H376" s="46" t="s">
        <v>249</v>
      </c>
      <c r="I376" s="46">
        <v>1</v>
      </c>
      <c r="J376" s="47">
        <v>4</v>
      </c>
      <c r="K376" s="45" t="s">
        <v>299</v>
      </c>
      <c r="L376" s="45" t="s">
        <v>30</v>
      </c>
      <c r="M376" s="49" t="s">
        <v>29</v>
      </c>
      <c r="N376" s="49" t="s">
        <v>3141</v>
      </c>
      <c r="O376" s="49">
        <v>2014</v>
      </c>
      <c r="P376" s="45" t="s">
        <v>34</v>
      </c>
      <c r="Q376" s="49" t="s">
        <v>35</v>
      </c>
      <c r="R376" s="49">
        <v>2</v>
      </c>
      <c r="S376" s="50">
        <f t="shared" si="181"/>
        <v>50</v>
      </c>
      <c r="T376" s="49">
        <v>4</v>
      </c>
      <c r="U376" s="50">
        <f t="shared" si="182"/>
        <v>100</v>
      </c>
      <c r="V376" s="49" t="s">
        <v>787</v>
      </c>
      <c r="W376" s="49">
        <v>2</v>
      </c>
      <c r="X376" s="50">
        <f t="shared" si="183"/>
        <v>50</v>
      </c>
      <c r="Y376" s="51" t="str">
        <f t="shared" si="184"/>
        <v>No</v>
      </c>
      <c r="Z376" s="49" t="s">
        <v>29</v>
      </c>
      <c r="AA376" s="49" t="s">
        <v>35</v>
      </c>
      <c r="AB376" s="45" t="s">
        <v>35</v>
      </c>
      <c r="AC376" s="46" t="s">
        <v>26</v>
      </c>
      <c r="AD376" s="46" t="s">
        <v>27</v>
      </c>
      <c r="AE376" s="46" t="s">
        <v>73</v>
      </c>
      <c r="AF376" s="46" t="s">
        <v>29</v>
      </c>
      <c r="AG376" s="103">
        <v>14826</v>
      </c>
      <c r="AH376" s="52">
        <v>10518</v>
      </c>
      <c r="AI376" s="52">
        <v>13675</v>
      </c>
      <c r="AJ376" s="108">
        <v>31.09</v>
      </c>
      <c r="AK376" s="104">
        <v>62.18</v>
      </c>
      <c r="AL376" s="108">
        <v>50.76</v>
      </c>
      <c r="AM376" s="108"/>
      <c r="AN376" s="53">
        <f t="shared" si="185"/>
        <v>101.52</v>
      </c>
      <c r="AO376" s="53">
        <v>29.31</v>
      </c>
      <c r="AP376" s="108">
        <v>1151</v>
      </c>
      <c r="AQ376" s="108">
        <v>7.7633886415756113</v>
      </c>
      <c r="AR376" s="108"/>
      <c r="AS376" s="108"/>
      <c r="AT376" s="108"/>
      <c r="AU376" s="108"/>
      <c r="AV376" s="108"/>
      <c r="AW376" s="108"/>
      <c r="AX376" s="108"/>
      <c r="AY376" s="108"/>
      <c r="AZ376" s="108"/>
      <c r="BA376" s="108"/>
      <c r="BB376" s="108"/>
      <c r="BC376" s="108"/>
      <c r="BD376" s="108"/>
      <c r="BE376" s="108"/>
      <c r="BF376" s="108"/>
      <c r="BG376" s="108"/>
      <c r="BH376" s="108"/>
      <c r="BI376" s="108"/>
      <c r="BJ376" s="108"/>
      <c r="BK376" s="108"/>
      <c r="BL376" s="108"/>
      <c r="BM376" s="108"/>
      <c r="BN376" s="108"/>
      <c r="BO376" s="108"/>
      <c r="BP376" s="108"/>
      <c r="BQ376" s="108"/>
      <c r="BR376" s="108"/>
      <c r="BS376" s="54" t="s">
        <v>29</v>
      </c>
      <c r="BT376" s="45" t="str">
        <f t="shared" si="189"/>
        <v>Yes</v>
      </c>
      <c r="BU376" s="45" t="str">
        <f t="shared" si="190"/>
        <v>Yes</v>
      </c>
      <c r="BV376" s="45" t="str">
        <f t="shared" si="191"/>
        <v>Yes</v>
      </c>
      <c r="BW376" s="55">
        <v>73.34541999999999</v>
      </c>
      <c r="BX376" s="55">
        <v>78.011898900000006</v>
      </c>
      <c r="BY376" s="55">
        <v>71.415419999999997</v>
      </c>
      <c r="BZ376" s="55">
        <f t="shared" si="192"/>
        <v>76.081898899999999</v>
      </c>
      <c r="CA376" s="45">
        <v>2012</v>
      </c>
      <c r="CB376" s="55">
        <f t="shared" si="187"/>
        <v>24.542354630294327</v>
      </c>
      <c r="CC376" s="46" t="s">
        <v>281</v>
      </c>
      <c r="CD376" s="46" t="s">
        <v>151</v>
      </c>
      <c r="CE376" s="46" t="s">
        <v>783</v>
      </c>
      <c r="CF376" s="46">
        <v>2</v>
      </c>
      <c r="CG376" s="46" t="str">
        <f t="shared" si="186"/>
        <v>Yes</v>
      </c>
      <c r="CH376" s="46" t="s">
        <v>35</v>
      </c>
      <c r="CI376" s="56">
        <v>25</v>
      </c>
      <c r="CJ376" s="46">
        <v>50</v>
      </c>
      <c r="CK376" s="46" t="s">
        <v>23</v>
      </c>
      <c r="CL376" s="49" t="s">
        <v>29</v>
      </c>
      <c r="CM376" s="50">
        <v>0</v>
      </c>
      <c r="CN376" s="102"/>
      <c r="CO376" s="50"/>
      <c r="CP376" s="46" t="s">
        <v>23</v>
      </c>
      <c r="CQ376" s="46" t="s">
        <v>24</v>
      </c>
      <c r="CR376" s="46">
        <v>11</v>
      </c>
      <c r="CS376" s="46" t="s">
        <v>854</v>
      </c>
      <c r="CT376" s="46" t="s">
        <v>856</v>
      </c>
      <c r="CU376" s="46" t="s">
        <v>29</v>
      </c>
      <c r="CV376" s="46" t="s">
        <v>23</v>
      </c>
      <c r="CW376" s="46" t="s">
        <v>23</v>
      </c>
      <c r="CX376" s="49" t="s">
        <v>294</v>
      </c>
      <c r="CY376" s="49" t="s">
        <v>295</v>
      </c>
      <c r="CZ376" s="49">
        <v>0</v>
      </c>
      <c r="DA376" s="49">
        <v>0</v>
      </c>
      <c r="DB376" s="64">
        <v>55720</v>
      </c>
      <c r="DC376" s="58">
        <v>13.38</v>
      </c>
      <c r="DD376" s="58">
        <v>2.86</v>
      </c>
      <c r="DE376" s="58">
        <v>33.75</v>
      </c>
      <c r="DF376" s="58">
        <v>47.07</v>
      </c>
      <c r="DG376" s="58">
        <v>2.9737975592246948</v>
      </c>
      <c r="DH376" s="58">
        <v>86.61999999999999</v>
      </c>
      <c r="DI376" s="45" t="s">
        <v>35</v>
      </c>
      <c r="DJ376" s="59" t="str">
        <f t="shared" si="188"/>
        <v>No single majority group</v>
      </c>
      <c r="DK376" s="65">
        <v>55720</v>
      </c>
      <c r="DL376" s="58">
        <v>13.38</v>
      </c>
      <c r="DM376" s="58">
        <v>2.86</v>
      </c>
      <c r="DN376" s="58">
        <v>33.75</v>
      </c>
      <c r="DO376" s="58">
        <v>86.61999999999999</v>
      </c>
      <c r="DP376" s="66">
        <v>49.7</v>
      </c>
      <c r="DQ376" s="67">
        <v>83787</v>
      </c>
      <c r="DR376" s="53">
        <v>11.8</v>
      </c>
      <c r="DS376" s="58">
        <v>72.8</v>
      </c>
      <c r="DT376" s="53">
        <v>57.4</v>
      </c>
      <c r="DU376" s="55">
        <v>3.13</v>
      </c>
      <c r="DV376" s="102">
        <v>35.9</v>
      </c>
      <c r="DW376" s="53">
        <v>82.5</v>
      </c>
      <c r="DX376" s="53">
        <v>82.56</v>
      </c>
      <c r="DY376" s="53">
        <v>53.338099999999997</v>
      </c>
      <c r="DZ376" s="63"/>
    </row>
    <row r="377" spans="1:130" s="5" customFormat="1" ht="14.25" hidden="1" customHeight="1">
      <c r="A377" s="45">
        <v>1293</v>
      </c>
      <c r="B377" s="46" t="s">
        <v>292</v>
      </c>
      <c r="C377" s="47">
        <v>2014</v>
      </c>
      <c r="D377" s="47" t="s">
        <v>300</v>
      </c>
      <c r="E377" s="46" t="s">
        <v>236</v>
      </c>
      <c r="F377" s="46">
        <v>4</v>
      </c>
      <c r="G377" s="48">
        <v>85000</v>
      </c>
      <c r="H377" s="46" t="s">
        <v>249</v>
      </c>
      <c r="I377" s="46">
        <v>1</v>
      </c>
      <c r="J377" s="47">
        <v>2</v>
      </c>
      <c r="K377" s="45" t="s">
        <v>301</v>
      </c>
      <c r="L377" s="45" t="s">
        <v>30</v>
      </c>
      <c r="M377" s="49" t="s">
        <v>29</v>
      </c>
      <c r="N377" s="49" t="s">
        <v>513</v>
      </c>
      <c r="O377" s="49">
        <v>2010</v>
      </c>
      <c r="P377" s="45" t="s">
        <v>857</v>
      </c>
      <c r="Q377" s="49" t="s">
        <v>35</v>
      </c>
      <c r="R377" s="49">
        <v>1</v>
      </c>
      <c r="S377" s="50">
        <f t="shared" si="181"/>
        <v>50</v>
      </c>
      <c r="T377" s="49">
        <v>1</v>
      </c>
      <c r="U377" s="50">
        <f t="shared" si="182"/>
        <v>50</v>
      </c>
      <c r="V377" s="49" t="s">
        <v>789</v>
      </c>
      <c r="W377" s="49">
        <v>0</v>
      </c>
      <c r="X377" s="50">
        <f t="shared" si="183"/>
        <v>0</v>
      </c>
      <c r="Y377" s="51" t="str">
        <f t="shared" si="184"/>
        <v>No</v>
      </c>
      <c r="Z377" s="49" t="s">
        <v>29</v>
      </c>
      <c r="AA377" s="49" t="s">
        <v>35</v>
      </c>
      <c r="AB377" s="49" t="s">
        <v>29</v>
      </c>
      <c r="AC377" s="46" t="s">
        <v>151</v>
      </c>
      <c r="AD377" s="46" t="s">
        <v>152</v>
      </c>
      <c r="AE377" s="46" t="s">
        <v>73</v>
      </c>
      <c r="AF377" s="46" t="s">
        <v>29</v>
      </c>
      <c r="AG377" s="103">
        <v>17462</v>
      </c>
      <c r="AH377" s="52">
        <v>14950</v>
      </c>
      <c r="AI377" s="52">
        <v>14950</v>
      </c>
      <c r="AJ377" s="108">
        <v>74.489999999999995</v>
      </c>
      <c r="AK377" s="104">
        <v>148.97999999999999</v>
      </c>
      <c r="AL377" s="108">
        <v>74.489999999999995</v>
      </c>
      <c r="AM377" s="108"/>
      <c r="AN377" s="53">
        <f t="shared" si="185"/>
        <v>148.97999999999999</v>
      </c>
      <c r="AO377" s="53">
        <v>25.51</v>
      </c>
      <c r="AP377" s="108">
        <v>2512</v>
      </c>
      <c r="AQ377" s="108">
        <v>14.385522849616308</v>
      </c>
      <c r="AR377" s="108"/>
      <c r="AS377" s="108"/>
      <c r="AT377" s="108"/>
      <c r="AU377" s="108"/>
      <c r="AV377" s="108"/>
      <c r="AW377" s="108"/>
      <c r="AX377" s="108"/>
      <c r="AY377" s="108"/>
      <c r="AZ377" s="108"/>
      <c r="BA377" s="108"/>
      <c r="BB377" s="108"/>
      <c r="BC377" s="108"/>
      <c r="BD377" s="108"/>
      <c r="BE377" s="108"/>
      <c r="BF377" s="108"/>
      <c r="BG377" s="108"/>
      <c r="BH377" s="108"/>
      <c r="BI377" s="108"/>
      <c r="BJ377" s="108"/>
      <c r="BK377" s="108"/>
      <c r="BL377" s="108"/>
      <c r="BM377" s="108"/>
      <c r="BN377" s="108"/>
      <c r="BO377" s="108"/>
      <c r="BP377" s="108"/>
      <c r="BQ377" s="108"/>
      <c r="BR377" s="108"/>
      <c r="BS377" s="54" t="s">
        <v>29</v>
      </c>
      <c r="BT377" s="45" t="str">
        <f t="shared" si="189"/>
        <v>No</v>
      </c>
      <c r="BU377" s="45" t="str">
        <f t="shared" si="190"/>
        <v>No</v>
      </c>
      <c r="BV377" s="45" t="str">
        <f t="shared" si="191"/>
        <v>No</v>
      </c>
      <c r="BW377" s="55">
        <v>73.34541999999999</v>
      </c>
      <c r="BX377" s="55">
        <v>67.622553799999991</v>
      </c>
      <c r="BY377" s="55">
        <v>71.415419999999997</v>
      </c>
      <c r="BZ377" s="55">
        <f t="shared" si="192"/>
        <v>65.692553799999985</v>
      </c>
      <c r="CA377" s="45">
        <v>2012</v>
      </c>
      <c r="CB377" s="55">
        <f t="shared" si="187"/>
        <v>24.09308472063303</v>
      </c>
      <c r="CC377" s="46" t="s">
        <v>281</v>
      </c>
      <c r="CD377" s="46" t="s">
        <v>151</v>
      </c>
      <c r="CE377" s="46" t="s">
        <v>783</v>
      </c>
      <c r="CF377" s="46">
        <v>2</v>
      </c>
      <c r="CG377" s="46" t="str">
        <f t="shared" si="186"/>
        <v>Yes</v>
      </c>
      <c r="CH377" s="46" t="s">
        <v>35</v>
      </c>
      <c r="CI377" s="56">
        <v>25</v>
      </c>
      <c r="CJ377" s="46">
        <v>50</v>
      </c>
      <c r="CK377" s="46" t="s">
        <v>23</v>
      </c>
      <c r="CL377" s="49" t="s">
        <v>29</v>
      </c>
      <c r="CM377" s="50">
        <v>0</v>
      </c>
      <c r="CN377" s="102"/>
      <c r="CO377" s="50"/>
      <c r="CP377" s="46" t="s">
        <v>23</v>
      </c>
      <c r="CQ377" s="46" t="s">
        <v>24</v>
      </c>
      <c r="CR377" s="46">
        <v>11</v>
      </c>
      <c r="CS377" s="46" t="s">
        <v>854</v>
      </c>
      <c r="CT377" s="46" t="s">
        <v>856</v>
      </c>
      <c r="CU377" s="46" t="s">
        <v>29</v>
      </c>
      <c r="CV377" s="46" t="s">
        <v>23</v>
      </c>
      <c r="CW377" s="46" t="s">
        <v>23</v>
      </c>
      <c r="CX377" s="49" t="s">
        <v>294</v>
      </c>
      <c r="CY377" s="49" t="s">
        <v>295</v>
      </c>
      <c r="CZ377" s="49">
        <v>0</v>
      </c>
      <c r="DA377" s="49">
        <v>0</v>
      </c>
      <c r="DB377" s="64">
        <v>62051</v>
      </c>
      <c r="DC377" s="58">
        <v>66.33</v>
      </c>
      <c r="DD377" s="58">
        <v>2.5299999999999998</v>
      </c>
      <c r="DE377" s="58">
        <v>16.009999999999998</v>
      </c>
      <c r="DF377" s="58">
        <v>12.11</v>
      </c>
      <c r="DG377" s="58">
        <v>2.9975342863128716</v>
      </c>
      <c r="DH377" s="58">
        <v>33.67</v>
      </c>
      <c r="DI377" s="45" t="s">
        <v>29</v>
      </c>
      <c r="DJ377" s="59" t="str">
        <f t="shared" si="188"/>
        <v>N/A</v>
      </c>
      <c r="DK377" s="65">
        <v>62051</v>
      </c>
      <c r="DL377" s="58">
        <v>66.33</v>
      </c>
      <c r="DM377" s="58">
        <v>2.5299999999999998</v>
      </c>
      <c r="DN377" s="58">
        <v>16.009999999999998</v>
      </c>
      <c r="DO377" s="58">
        <v>33.67</v>
      </c>
      <c r="DP377" s="66">
        <v>49.7</v>
      </c>
      <c r="DQ377" s="67">
        <v>83787</v>
      </c>
      <c r="DR377" s="53">
        <v>11.8</v>
      </c>
      <c r="DS377" s="58">
        <v>72.8</v>
      </c>
      <c r="DT377" s="53">
        <v>57.4</v>
      </c>
      <c r="DU377" s="55">
        <v>3.13</v>
      </c>
      <c r="DV377" s="102">
        <v>35.9</v>
      </c>
      <c r="DW377" s="53">
        <v>82.5</v>
      </c>
      <c r="DX377" s="53">
        <v>82.56</v>
      </c>
      <c r="DY377" s="53">
        <v>53.338099999999997</v>
      </c>
      <c r="DZ377" s="63"/>
    </row>
    <row r="378" spans="1:130" s="5" customFormat="1" ht="14.25" hidden="1" customHeight="1">
      <c r="A378" s="45">
        <v>1288</v>
      </c>
      <c r="B378" s="46" t="s">
        <v>292</v>
      </c>
      <c r="C378" s="47">
        <v>2014</v>
      </c>
      <c r="D378" s="47" t="s">
        <v>38</v>
      </c>
      <c r="E378" s="46" t="s">
        <v>22</v>
      </c>
      <c r="F378" s="46">
        <v>4</v>
      </c>
      <c r="G378" s="48">
        <v>105000</v>
      </c>
      <c r="H378" s="46" t="s">
        <v>249</v>
      </c>
      <c r="I378" s="46">
        <v>1</v>
      </c>
      <c r="J378" s="47">
        <v>8</v>
      </c>
      <c r="K378" s="45" t="s">
        <v>293</v>
      </c>
      <c r="L378" s="45" t="s">
        <v>30</v>
      </c>
      <c r="M378" s="49" t="s">
        <v>29</v>
      </c>
      <c r="N378" s="49" t="s">
        <v>513</v>
      </c>
      <c r="O378" s="49">
        <v>2006</v>
      </c>
      <c r="P378" s="45" t="s">
        <v>31</v>
      </c>
      <c r="Q378" s="49" t="s">
        <v>29</v>
      </c>
      <c r="R378" s="49">
        <v>2</v>
      </c>
      <c r="S378" s="50">
        <f t="shared" si="181"/>
        <v>25</v>
      </c>
      <c r="T378" s="49">
        <v>2</v>
      </c>
      <c r="U378" s="50">
        <f t="shared" si="182"/>
        <v>25</v>
      </c>
      <c r="V378" s="49" t="s">
        <v>891</v>
      </c>
      <c r="W378" s="49">
        <v>1</v>
      </c>
      <c r="X378" s="50">
        <f t="shared" si="183"/>
        <v>12.5</v>
      </c>
      <c r="Y378" s="51" t="str">
        <f t="shared" si="184"/>
        <v>No</v>
      </c>
      <c r="Z378" s="49" t="s">
        <v>29</v>
      </c>
      <c r="AA378" s="49" t="s">
        <v>29</v>
      </c>
      <c r="AB378" s="49" t="s">
        <v>29</v>
      </c>
      <c r="AC378" s="47" t="s">
        <v>26</v>
      </c>
      <c r="AD378" s="46" t="s">
        <v>27</v>
      </c>
      <c r="AE378" s="46" t="s">
        <v>73</v>
      </c>
      <c r="AF378" s="46" t="s">
        <v>29</v>
      </c>
      <c r="AG378" s="103">
        <v>194885</v>
      </c>
      <c r="AH378" s="52">
        <v>130157</v>
      </c>
      <c r="AI378" s="52">
        <v>180930</v>
      </c>
      <c r="AJ378" s="108">
        <v>25.75</v>
      </c>
      <c r="AK378" s="104">
        <v>51.5</v>
      </c>
      <c r="AL378" s="108">
        <v>50.76</v>
      </c>
      <c r="AM378" s="108"/>
      <c r="AN378" s="53">
        <f t="shared" si="185"/>
        <v>101.52</v>
      </c>
      <c r="AO378" s="53">
        <v>33.72</v>
      </c>
      <c r="AP378" s="108">
        <v>13955</v>
      </c>
      <c r="AQ378" s="108">
        <v>7.1606331939348848</v>
      </c>
      <c r="AR378" s="108"/>
      <c r="AS378" s="108"/>
      <c r="AT378" s="108"/>
      <c r="AU378" s="108"/>
      <c r="AV378" s="50"/>
      <c r="AW378" s="50"/>
      <c r="AX378" s="108"/>
      <c r="AY378" s="108"/>
      <c r="AZ378" s="108"/>
      <c r="BA378" s="108"/>
      <c r="BB378" s="108"/>
      <c r="BC378" s="108"/>
      <c r="BD378" s="108"/>
      <c r="BE378" s="108"/>
      <c r="BF378" s="108"/>
      <c r="BG378" s="108"/>
      <c r="BH378" s="108"/>
      <c r="BI378" s="108"/>
      <c r="BJ378" s="50"/>
      <c r="BK378" s="50"/>
      <c r="BL378" s="50"/>
      <c r="BM378" s="50"/>
      <c r="BN378" s="108"/>
      <c r="BO378" s="108"/>
      <c r="BP378" s="108"/>
      <c r="BQ378" s="108"/>
      <c r="BR378" s="102"/>
      <c r="BS378" s="54" t="s">
        <v>35</v>
      </c>
      <c r="BT378" s="45" t="str">
        <f t="shared" si="189"/>
        <v>Yes</v>
      </c>
      <c r="BU378" s="45" t="str">
        <f t="shared" si="190"/>
        <v>Yes</v>
      </c>
      <c r="BV378" s="45" t="str">
        <f t="shared" si="191"/>
        <v>No</v>
      </c>
      <c r="BW378" s="55">
        <v>73.34541999999999</v>
      </c>
      <c r="BX378" s="55">
        <v>73.34541999999999</v>
      </c>
      <c r="BY378" s="55">
        <v>71.415419999999997</v>
      </c>
      <c r="BZ378" s="55">
        <f t="shared" si="192"/>
        <v>71.415419999999983</v>
      </c>
      <c r="CA378" s="45">
        <v>2012</v>
      </c>
      <c r="CB378" s="55">
        <f t="shared" si="187"/>
        <v>30.580579734640413</v>
      </c>
      <c r="CC378" s="46" t="s">
        <v>281</v>
      </c>
      <c r="CD378" s="46" t="s">
        <v>151</v>
      </c>
      <c r="CE378" s="46" t="s">
        <v>783</v>
      </c>
      <c r="CF378" s="46">
        <v>2</v>
      </c>
      <c r="CG378" s="46" t="str">
        <f t="shared" si="186"/>
        <v>Yes</v>
      </c>
      <c r="CH378" s="46" t="s">
        <v>35</v>
      </c>
      <c r="CI378" s="56">
        <v>25</v>
      </c>
      <c r="CJ378" s="46">
        <v>50</v>
      </c>
      <c r="CK378" s="46" t="s">
        <v>23</v>
      </c>
      <c r="CL378" s="49" t="s">
        <v>29</v>
      </c>
      <c r="CM378" s="50">
        <v>0</v>
      </c>
      <c r="CN378" s="50">
        <v>4323593.8</v>
      </c>
      <c r="CO378" s="50" t="s">
        <v>35</v>
      </c>
      <c r="CP378" s="46" t="s">
        <v>23</v>
      </c>
      <c r="CQ378" s="46" t="s">
        <v>23</v>
      </c>
      <c r="CR378" s="46">
        <v>11</v>
      </c>
      <c r="CS378" s="46" t="s">
        <v>854</v>
      </c>
      <c r="CT378" s="46" t="s">
        <v>53</v>
      </c>
      <c r="CU378" s="46" t="s">
        <v>29</v>
      </c>
      <c r="CV378" s="46" t="s">
        <v>23</v>
      </c>
      <c r="CW378" s="46" t="s">
        <v>23</v>
      </c>
      <c r="CX378" s="49" t="s">
        <v>294</v>
      </c>
      <c r="CY378" s="49" t="s">
        <v>295</v>
      </c>
      <c r="CZ378" s="49">
        <v>0</v>
      </c>
      <c r="DA378" s="49">
        <v>0</v>
      </c>
      <c r="DB378" s="57">
        <v>591650</v>
      </c>
      <c r="DC378" s="58">
        <v>36.942449083072766</v>
      </c>
      <c r="DD378" s="58">
        <v>3.4057297388658836</v>
      </c>
      <c r="DE378" s="58">
        <v>24.391954702949377</v>
      </c>
      <c r="DF378" s="58">
        <v>32.087382743175866</v>
      </c>
      <c r="DG378" s="58">
        <v>3.1724837319361154</v>
      </c>
      <c r="DH378" s="58">
        <v>63.057550916927241</v>
      </c>
      <c r="DI378" s="45" t="s">
        <v>35</v>
      </c>
      <c r="DJ378" s="59" t="str">
        <f t="shared" si="188"/>
        <v>No single majority group</v>
      </c>
      <c r="DK378" s="60">
        <v>591650</v>
      </c>
      <c r="DL378" s="58">
        <v>36.942449083072766</v>
      </c>
      <c r="DM378" s="58">
        <v>3.4057297388658836</v>
      </c>
      <c r="DN378" s="58">
        <v>24.391954702949377</v>
      </c>
      <c r="DO378" s="58">
        <v>63.057550916927241</v>
      </c>
      <c r="DP378" s="66">
        <v>49.7</v>
      </c>
      <c r="DQ378" s="67">
        <v>83787</v>
      </c>
      <c r="DR378" s="53">
        <v>11.8</v>
      </c>
      <c r="DS378" s="58">
        <v>72.8</v>
      </c>
      <c r="DT378" s="53">
        <v>57.4</v>
      </c>
      <c r="DU378" s="55">
        <v>3.13</v>
      </c>
      <c r="DV378" s="102">
        <v>35.9</v>
      </c>
      <c r="DW378" s="53">
        <v>82.5</v>
      </c>
      <c r="DX378" s="53">
        <v>82.56</v>
      </c>
      <c r="DY378" s="53">
        <v>53.338099999999997</v>
      </c>
      <c r="DZ378" s="63"/>
    </row>
    <row r="379" spans="1:130" s="5" customFormat="1" ht="14.25" hidden="1" customHeight="1">
      <c r="A379" s="45">
        <v>1372</v>
      </c>
      <c r="B379" s="46" t="s">
        <v>331</v>
      </c>
      <c r="C379" s="47">
        <v>2000</v>
      </c>
      <c r="D379" s="47" t="s">
        <v>91</v>
      </c>
      <c r="E379" s="71" t="s">
        <v>92</v>
      </c>
      <c r="F379" s="46">
        <v>4</v>
      </c>
      <c r="G379" s="48">
        <v>15000</v>
      </c>
      <c r="H379" s="46" t="s">
        <v>332</v>
      </c>
      <c r="I379" s="46">
        <v>1</v>
      </c>
      <c r="J379" s="46">
        <v>2</v>
      </c>
      <c r="K379" s="49" t="s">
        <v>349</v>
      </c>
      <c r="L379" s="49" t="s">
        <v>40</v>
      </c>
      <c r="M379" s="49" t="s">
        <v>35</v>
      </c>
      <c r="N379" s="49" t="s">
        <v>513</v>
      </c>
      <c r="O379" s="49"/>
      <c r="P379" s="49" t="s">
        <v>201</v>
      </c>
      <c r="Q379" s="49" t="s">
        <v>35</v>
      </c>
      <c r="R379" s="49">
        <v>1</v>
      </c>
      <c r="S379" s="50">
        <f t="shared" si="181"/>
        <v>50</v>
      </c>
      <c r="T379" s="49">
        <v>1</v>
      </c>
      <c r="U379" s="50">
        <f t="shared" si="182"/>
        <v>50</v>
      </c>
      <c r="V379" s="49" t="s">
        <v>858</v>
      </c>
      <c r="W379" s="49">
        <v>1</v>
      </c>
      <c r="X379" s="50">
        <f t="shared" si="183"/>
        <v>50</v>
      </c>
      <c r="Y379" s="51" t="str">
        <f t="shared" si="184"/>
        <v>Yes</v>
      </c>
      <c r="Z379" s="45" t="s">
        <v>29</v>
      </c>
      <c r="AA379" s="49" t="s">
        <v>35</v>
      </c>
      <c r="AB379" s="45" t="s">
        <v>35</v>
      </c>
      <c r="AC379" s="46" t="s">
        <v>26</v>
      </c>
      <c r="AD379" s="46" t="s">
        <v>27</v>
      </c>
      <c r="AE379" s="46" t="s">
        <v>89</v>
      </c>
      <c r="AF379" s="46" t="s">
        <v>29</v>
      </c>
      <c r="AG379" s="107"/>
      <c r="AH379" s="70">
        <f>SUM(13709+8203)</f>
        <v>21912</v>
      </c>
      <c r="AI379" s="70">
        <f>SUM(13709+8203)</f>
        <v>21912</v>
      </c>
      <c r="AJ379" s="102">
        <v>62.56</v>
      </c>
      <c r="AK379" s="104">
        <v>125.12</v>
      </c>
      <c r="AL379" s="102">
        <v>62.56</v>
      </c>
      <c r="AM379" s="102"/>
      <c r="AN379" s="53">
        <f t="shared" si="185"/>
        <v>125.12</v>
      </c>
      <c r="AO379" s="53">
        <v>37.44</v>
      </c>
      <c r="AP379" s="102"/>
      <c r="AQ379" s="102"/>
      <c r="AR379" s="50"/>
      <c r="AS379" s="50"/>
      <c r="AT379" s="102"/>
      <c r="AU379" s="102"/>
      <c r="AV379" s="50"/>
      <c r="AW379" s="50"/>
      <c r="AX379" s="50"/>
      <c r="AY379" s="50"/>
      <c r="AZ379" s="102"/>
      <c r="BA379" s="102"/>
      <c r="BB379" s="102"/>
      <c r="BC379" s="102"/>
      <c r="BD379" s="50"/>
      <c r="BE379" s="50"/>
      <c r="BF379" s="50"/>
      <c r="BG379" s="50"/>
      <c r="BH379" s="102"/>
      <c r="BI379" s="102"/>
      <c r="BJ379" s="50"/>
      <c r="BK379" s="50"/>
      <c r="BL379" s="50"/>
      <c r="BM379" s="50"/>
      <c r="BN379" s="102"/>
      <c r="BO379" s="50"/>
      <c r="BP379" s="50"/>
      <c r="BQ379" s="50"/>
      <c r="BR379" s="102"/>
      <c r="BS379" s="54" t="s">
        <v>23</v>
      </c>
      <c r="BT379" s="45" t="str">
        <f t="shared" si="189"/>
        <v>Yes</v>
      </c>
      <c r="BU379" s="45" t="str">
        <f t="shared" si="190"/>
        <v>No</v>
      </c>
      <c r="BV379" s="45" t="str">
        <f t="shared" si="191"/>
        <v>No</v>
      </c>
      <c r="BW379" s="55">
        <v>87.726444032874198</v>
      </c>
      <c r="BX379" s="55"/>
      <c r="BY379" s="55">
        <v>87.471444032874174</v>
      </c>
      <c r="BZ379" s="55"/>
      <c r="CA379" s="45">
        <v>2000</v>
      </c>
      <c r="CB379" s="55">
        <f t="shared" si="187"/>
        <v>41.737142857142857</v>
      </c>
      <c r="CC379" s="46" t="s">
        <v>355</v>
      </c>
      <c r="CD379" s="46" t="s">
        <v>179</v>
      </c>
      <c r="CE379" s="46" t="s">
        <v>179</v>
      </c>
      <c r="CF379" s="46">
        <v>1</v>
      </c>
      <c r="CG379" s="46" t="str">
        <f t="shared" si="186"/>
        <v>No</v>
      </c>
      <c r="CH379" s="46" t="s">
        <v>35</v>
      </c>
      <c r="CI379" s="56">
        <v>0</v>
      </c>
      <c r="CJ379" s="46">
        <v>20</v>
      </c>
      <c r="CK379" s="46" t="s">
        <v>23</v>
      </c>
      <c r="CL379" s="49" t="s">
        <v>29</v>
      </c>
      <c r="CM379" s="50">
        <v>0</v>
      </c>
      <c r="CN379" s="50"/>
      <c r="CO379" s="50"/>
      <c r="CP379" s="46" t="s">
        <v>35</v>
      </c>
      <c r="CQ379" s="46" t="s">
        <v>24</v>
      </c>
      <c r="CR379" s="46">
        <v>7</v>
      </c>
      <c r="CS379" s="46" t="s">
        <v>854</v>
      </c>
      <c r="CT379" s="46" t="s">
        <v>53</v>
      </c>
      <c r="CU379" s="46" t="s">
        <v>74</v>
      </c>
      <c r="CV379" s="46">
        <v>3</v>
      </c>
      <c r="CW379" s="46" t="s">
        <v>23</v>
      </c>
      <c r="CX379" s="49" t="s">
        <v>743</v>
      </c>
      <c r="CY379" s="49" t="s">
        <v>51</v>
      </c>
      <c r="CZ379" s="49">
        <v>0</v>
      </c>
      <c r="DA379" s="49">
        <v>1</v>
      </c>
      <c r="DB379" s="64">
        <v>52500</v>
      </c>
      <c r="DC379" s="58">
        <v>52.23</v>
      </c>
      <c r="DD379" s="58">
        <v>10.059999999999999</v>
      </c>
      <c r="DE379" s="58">
        <v>15.07</v>
      </c>
      <c r="DF379" s="58">
        <v>17.89</v>
      </c>
      <c r="DG379" s="58">
        <v>4.7499999999999876</v>
      </c>
      <c r="DH379" s="58">
        <v>47.77</v>
      </c>
      <c r="DI379" s="45" t="s">
        <v>29</v>
      </c>
      <c r="DJ379" s="59" t="str">
        <f t="shared" si="188"/>
        <v>N/A</v>
      </c>
      <c r="DK379" s="65">
        <v>8383</v>
      </c>
      <c r="DL379" s="58">
        <v>52.52</v>
      </c>
      <c r="DM379" s="58">
        <v>12.44</v>
      </c>
      <c r="DN379" s="58">
        <v>16.059999999999999</v>
      </c>
      <c r="DO379" s="58">
        <v>47.48</v>
      </c>
      <c r="DP379" s="66">
        <v>51.8</v>
      </c>
      <c r="DQ379" s="67">
        <v>70224.81</v>
      </c>
      <c r="DR379" s="53">
        <v>6.4</v>
      </c>
      <c r="DS379" s="58">
        <v>74.5</v>
      </c>
      <c r="DT379" s="53">
        <v>60.6</v>
      </c>
      <c r="DU379" s="55">
        <v>2.57</v>
      </c>
      <c r="DV379" s="102">
        <v>37.700000000000003</v>
      </c>
      <c r="DW379" s="53">
        <v>80.900000000000006</v>
      </c>
      <c r="DX379" s="53">
        <v>76.013800000000003</v>
      </c>
      <c r="DY379" s="53">
        <v>38.331400000000002</v>
      </c>
      <c r="DZ379" s="63"/>
    </row>
    <row r="380" spans="1:130" s="5" customFormat="1" ht="14.25" hidden="1" customHeight="1">
      <c r="A380" s="45">
        <v>1373</v>
      </c>
      <c r="B380" s="46" t="s">
        <v>331</v>
      </c>
      <c r="C380" s="47">
        <v>2000</v>
      </c>
      <c r="D380" s="47" t="s">
        <v>79</v>
      </c>
      <c r="E380" s="71" t="s">
        <v>80</v>
      </c>
      <c r="F380" s="46">
        <v>4</v>
      </c>
      <c r="G380" s="48">
        <v>15000</v>
      </c>
      <c r="H380" s="46" t="s">
        <v>332</v>
      </c>
      <c r="I380" s="46">
        <v>1</v>
      </c>
      <c r="J380" s="46">
        <v>2</v>
      </c>
      <c r="K380" s="49" t="s">
        <v>356</v>
      </c>
      <c r="L380" s="49" t="s">
        <v>30</v>
      </c>
      <c r="M380" s="49" t="s">
        <v>29</v>
      </c>
      <c r="N380" s="49" t="s">
        <v>513</v>
      </c>
      <c r="O380" s="49"/>
      <c r="P380" s="49" t="s">
        <v>31</v>
      </c>
      <c r="Q380" s="49" t="s">
        <v>29</v>
      </c>
      <c r="R380" s="49">
        <v>0</v>
      </c>
      <c r="S380" s="50">
        <f t="shared" si="181"/>
        <v>0</v>
      </c>
      <c r="T380" s="49">
        <v>0</v>
      </c>
      <c r="U380" s="50">
        <f t="shared" si="182"/>
        <v>0</v>
      </c>
      <c r="V380" s="45"/>
      <c r="W380" s="49">
        <v>0</v>
      </c>
      <c r="X380" s="50">
        <f t="shared" si="183"/>
        <v>0</v>
      </c>
      <c r="Y380" s="51" t="str">
        <f t="shared" si="184"/>
        <v>No</v>
      </c>
      <c r="Z380" s="45" t="s">
        <v>29</v>
      </c>
      <c r="AA380" s="49" t="s">
        <v>29</v>
      </c>
      <c r="AB380" s="49" t="s">
        <v>29</v>
      </c>
      <c r="AC380" s="46" t="s">
        <v>26</v>
      </c>
      <c r="AD380" s="46" t="s">
        <v>27</v>
      </c>
      <c r="AE380" s="46" t="s">
        <v>89</v>
      </c>
      <c r="AF380" s="46" t="s">
        <v>29</v>
      </c>
      <c r="AG380" s="107"/>
      <c r="AH380" s="70">
        <f>SUM(13757+7253)</f>
        <v>21010</v>
      </c>
      <c r="AI380" s="70">
        <f>SUM(13757+7253)</f>
        <v>21010</v>
      </c>
      <c r="AJ380" s="102">
        <v>65.48</v>
      </c>
      <c r="AK380" s="104">
        <v>130.96</v>
      </c>
      <c r="AL380" s="102">
        <v>65.48</v>
      </c>
      <c r="AM380" s="102"/>
      <c r="AN380" s="53">
        <f t="shared" si="185"/>
        <v>130.96</v>
      </c>
      <c r="AO380" s="53">
        <v>34.520000000000003</v>
      </c>
      <c r="AP380" s="102"/>
      <c r="AQ380" s="102"/>
      <c r="AR380" s="50"/>
      <c r="AS380" s="50"/>
      <c r="AT380" s="102"/>
      <c r="AU380" s="102"/>
      <c r="AV380" s="50"/>
      <c r="AW380" s="50"/>
      <c r="AX380" s="50"/>
      <c r="AY380" s="50"/>
      <c r="AZ380" s="102"/>
      <c r="BA380" s="102"/>
      <c r="BB380" s="102"/>
      <c r="BC380" s="102"/>
      <c r="BD380" s="50"/>
      <c r="BE380" s="50"/>
      <c r="BF380" s="50"/>
      <c r="BG380" s="50"/>
      <c r="BH380" s="102"/>
      <c r="BI380" s="102"/>
      <c r="BJ380" s="50"/>
      <c r="BK380" s="50"/>
      <c r="BL380" s="50"/>
      <c r="BM380" s="50"/>
      <c r="BN380" s="102"/>
      <c r="BO380" s="50"/>
      <c r="BP380" s="50"/>
      <c r="BQ380" s="50"/>
      <c r="BR380" s="102"/>
      <c r="BS380" s="54" t="s">
        <v>23</v>
      </c>
      <c r="BT380" s="45" t="str">
        <f t="shared" si="189"/>
        <v>Yes</v>
      </c>
      <c r="BU380" s="45" t="str">
        <f t="shared" si="190"/>
        <v>No</v>
      </c>
      <c r="BV380" s="45" t="str">
        <f t="shared" si="191"/>
        <v>No</v>
      </c>
      <c r="BW380" s="55">
        <v>87.726444032874198</v>
      </c>
      <c r="BX380" s="55"/>
      <c r="BY380" s="55">
        <v>87.471444032874174</v>
      </c>
      <c r="BZ380" s="55"/>
      <c r="CA380" s="45">
        <v>2000</v>
      </c>
      <c r="CB380" s="55">
        <f t="shared" si="187"/>
        <v>40.019047619047619</v>
      </c>
      <c r="CC380" s="46" t="s">
        <v>355</v>
      </c>
      <c r="CD380" s="46" t="s">
        <v>179</v>
      </c>
      <c r="CE380" s="46" t="s">
        <v>179</v>
      </c>
      <c r="CF380" s="46">
        <v>1</v>
      </c>
      <c r="CG380" s="46" t="str">
        <f t="shared" si="186"/>
        <v>No</v>
      </c>
      <c r="CH380" s="46" t="s">
        <v>35</v>
      </c>
      <c r="CI380" s="56">
        <v>0</v>
      </c>
      <c r="CJ380" s="46">
        <v>20</v>
      </c>
      <c r="CK380" s="46" t="s">
        <v>23</v>
      </c>
      <c r="CL380" s="49" t="s">
        <v>29</v>
      </c>
      <c r="CM380" s="50">
        <v>0</v>
      </c>
      <c r="CN380" s="50"/>
      <c r="CO380" s="50"/>
      <c r="CP380" s="46" t="s">
        <v>35</v>
      </c>
      <c r="CQ380" s="46" t="s">
        <v>24</v>
      </c>
      <c r="CR380" s="46">
        <v>7</v>
      </c>
      <c r="CS380" s="46" t="s">
        <v>854</v>
      </c>
      <c r="CT380" s="46" t="s">
        <v>53</v>
      </c>
      <c r="CU380" s="46" t="s">
        <v>74</v>
      </c>
      <c r="CV380" s="46">
        <v>3</v>
      </c>
      <c r="CW380" s="46" t="s">
        <v>23</v>
      </c>
      <c r="CX380" s="49" t="s">
        <v>743</v>
      </c>
      <c r="CY380" s="49" t="s">
        <v>51</v>
      </c>
      <c r="CZ380" s="49">
        <v>0</v>
      </c>
      <c r="DA380" s="49">
        <v>1</v>
      </c>
      <c r="DB380" s="64">
        <v>52500</v>
      </c>
      <c r="DC380" s="58">
        <v>52.23</v>
      </c>
      <c r="DD380" s="58">
        <v>10.059999999999999</v>
      </c>
      <c r="DE380" s="58">
        <v>15.07</v>
      </c>
      <c r="DF380" s="58">
        <v>17.89</v>
      </c>
      <c r="DG380" s="58">
        <v>4.7499999999999876</v>
      </c>
      <c r="DH380" s="58">
        <v>47.77</v>
      </c>
      <c r="DI380" s="45" t="s">
        <v>29</v>
      </c>
      <c r="DJ380" s="59" t="str">
        <f t="shared" si="188"/>
        <v>N/A</v>
      </c>
      <c r="DK380" s="65">
        <v>8825</v>
      </c>
      <c r="DL380" s="58">
        <v>52.89</v>
      </c>
      <c r="DM380" s="58">
        <v>5.64</v>
      </c>
      <c r="DN380" s="58">
        <v>13</v>
      </c>
      <c r="DO380" s="58">
        <v>47.11</v>
      </c>
      <c r="DP380" s="66">
        <v>51.8</v>
      </c>
      <c r="DQ380" s="67">
        <v>70224.81</v>
      </c>
      <c r="DR380" s="53">
        <v>6.4</v>
      </c>
      <c r="DS380" s="58">
        <v>74.5</v>
      </c>
      <c r="DT380" s="53">
        <v>60.6</v>
      </c>
      <c r="DU380" s="55">
        <v>2.57</v>
      </c>
      <c r="DV380" s="102">
        <v>37.700000000000003</v>
      </c>
      <c r="DW380" s="53">
        <v>80.900000000000006</v>
      </c>
      <c r="DX380" s="53">
        <v>76.013800000000003</v>
      </c>
      <c r="DY380" s="53">
        <v>38.331400000000002</v>
      </c>
      <c r="DZ380" s="63"/>
    </row>
    <row r="381" spans="1:130" s="5" customFormat="1" ht="14.25" hidden="1" customHeight="1">
      <c r="A381" s="45">
        <v>1374</v>
      </c>
      <c r="B381" s="46" t="s">
        <v>331</v>
      </c>
      <c r="C381" s="47">
        <v>2000</v>
      </c>
      <c r="D381" s="47" t="s">
        <v>100</v>
      </c>
      <c r="E381" s="46" t="s">
        <v>101</v>
      </c>
      <c r="F381" s="46">
        <v>4</v>
      </c>
      <c r="G381" s="48">
        <v>15000</v>
      </c>
      <c r="H381" s="46" t="s">
        <v>332</v>
      </c>
      <c r="I381" s="46">
        <v>1</v>
      </c>
      <c r="J381" s="46">
        <v>4</v>
      </c>
      <c r="K381" s="49" t="s">
        <v>346</v>
      </c>
      <c r="L381" s="49" t="s">
        <v>30</v>
      </c>
      <c r="M381" s="49" t="s">
        <v>29</v>
      </c>
      <c r="N381" s="49" t="s">
        <v>512</v>
      </c>
      <c r="O381" s="49"/>
      <c r="P381" s="49" t="s">
        <v>31</v>
      </c>
      <c r="Q381" s="49" t="s">
        <v>29</v>
      </c>
      <c r="R381" s="49">
        <v>1</v>
      </c>
      <c r="S381" s="50">
        <f t="shared" si="181"/>
        <v>25</v>
      </c>
      <c r="T381" s="49">
        <v>0</v>
      </c>
      <c r="U381" s="50">
        <f t="shared" si="182"/>
        <v>0</v>
      </c>
      <c r="V381" s="45"/>
      <c r="W381" s="49">
        <v>0</v>
      </c>
      <c r="X381" s="50">
        <f t="shared" si="183"/>
        <v>0</v>
      </c>
      <c r="Y381" s="51" t="str">
        <f t="shared" si="184"/>
        <v>No</v>
      </c>
      <c r="Z381" s="45" t="s">
        <v>35</v>
      </c>
      <c r="AA381" s="49" t="s">
        <v>23</v>
      </c>
      <c r="AB381" s="49" t="s">
        <v>23</v>
      </c>
      <c r="AC381" s="46" t="s">
        <v>26</v>
      </c>
      <c r="AD381" s="46" t="s">
        <v>27</v>
      </c>
      <c r="AE381" s="46" t="s">
        <v>89</v>
      </c>
      <c r="AF381" s="46" t="s">
        <v>29</v>
      </c>
      <c r="AG381" s="107"/>
      <c r="AH381" s="70">
        <f>SUM(10380+4563+3059+3899)</f>
        <v>21901</v>
      </c>
      <c r="AI381" s="70">
        <f>SUM(10380+4563+3059+3899)</f>
        <v>21901</v>
      </c>
      <c r="AJ381" s="102">
        <v>47.4</v>
      </c>
      <c r="AK381" s="104">
        <v>94.8</v>
      </c>
      <c r="AL381" s="102">
        <v>47.4</v>
      </c>
      <c r="AM381" s="102"/>
      <c r="AN381" s="53">
        <f t="shared" si="185"/>
        <v>94.8</v>
      </c>
      <c r="AO381" s="53">
        <v>20.83</v>
      </c>
      <c r="AP381" s="102"/>
      <c r="AQ381" s="102"/>
      <c r="AR381" s="50"/>
      <c r="AS381" s="50"/>
      <c r="AT381" s="102"/>
      <c r="AU381" s="102"/>
      <c r="AV381" s="50"/>
      <c r="AW381" s="50"/>
      <c r="AX381" s="50"/>
      <c r="AY381" s="50"/>
      <c r="AZ381" s="102"/>
      <c r="BA381" s="102"/>
      <c r="BB381" s="102"/>
      <c r="BC381" s="102"/>
      <c r="BD381" s="50"/>
      <c r="BE381" s="50"/>
      <c r="BF381" s="50"/>
      <c r="BG381" s="50"/>
      <c r="BH381" s="102"/>
      <c r="BI381" s="102"/>
      <c r="BJ381" s="50"/>
      <c r="BK381" s="50"/>
      <c r="BL381" s="50"/>
      <c r="BM381" s="50"/>
      <c r="BN381" s="102"/>
      <c r="BO381" s="50"/>
      <c r="BP381" s="50"/>
      <c r="BQ381" s="50"/>
      <c r="BR381" s="102"/>
      <c r="BS381" s="54" t="s">
        <v>23</v>
      </c>
      <c r="BT381" s="45" t="str">
        <f t="shared" si="189"/>
        <v>No</v>
      </c>
      <c r="BU381" s="45" t="str">
        <f t="shared" si="190"/>
        <v>No</v>
      </c>
      <c r="BV381" s="45" t="str">
        <f t="shared" si="191"/>
        <v>No</v>
      </c>
      <c r="BW381" s="55">
        <v>87.726444032874198</v>
      </c>
      <c r="BX381" s="55"/>
      <c r="BY381" s="55">
        <v>87.471444032874174</v>
      </c>
      <c r="BZ381" s="55"/>
      <c r="CA381" s="45">
        <v>2000</v>
      </c>
      <c r="CB381" s="55">
        <f t="shared" si="187"/>
        <v>41.716190476190476</v>
      </c>
      <c r="CC381" s="46" t="s">
        <v>355</v>
      </c>
      <c r="CD381" s="46" t="s">
        <v>179</v>
      </c>
      <c r="CE381" s="46" t="s">
        <v>179</v>
      </c>
      <c r="CF381" s="46">
        <v>1</v>
      </c>
      <c r="CG381" s="46" t="str">
        <f t="shared" si="186"/>
        <v>No</v>
      </c>
      <c r="CH381" s="46" t="s">
        <v>35</v>
      </c>
      <c r="CI381" s="56">
        <v>0</v>
      </c>
      <c r="CJ381" s="46">
        <v>20</v>
      </c>
      <c r="CK381" s="46" t="s">
        <v>23</v>
      </c>
      <c r="CL381" s="49" t="s">
        <v>29</v>
      </c>
      <c r="CM381" s="50">
        <v>0</v>
      </c>
      <c r="CN381" s="50"/>
      <c r="CO381" s="50"/>
      <c r="CP381" s="46" t="s">
        <v>35</v>
      </c>
      <c r="CQ381" s="46" t="s">
        <v>24</v>
      </c>
      <c r="CR381" s="46">
        <v>7</v>
      </c>
      <c r="CS381" s="46" t="s">
        <v>854</v>
      </c>
      <c r="CT381" s="46" t="s">
        <v>53</v>
      </c>
      <c r="CU381" s="46" t="s">
        <v>74</v>
      </c>
      <c r="CV381" s="46">
        <v>3</v>
      </c>
      <c r="CW381" s="46" t="s">
        <v>23</v>
      </c>
      <c r="CX381" s="49" t="s">
        <v>743</v>
      </c>
      <c r="CY381" s="49" t="s">
        <v>51</v>
      </c>
      <c r="CZ381" s="49">
        <v>0</v>
      </c>
      <c r="DA381" s="49">
        <v>1</v>
      </c>
      <c r="DB381" s="64">
        <v>52500</v>
      </c>
      <c r="DC381" s="58">
        <v>52.23</v>
      </c>
      <c r="DD381" s="58">
        <v>10.059999999999999</v>
      </c>
      <c r="DE381" s="58">
        <v>15.07</v>
      </c>
      <c r="DF381" s="58">
        <v>17.89</v>
      </c>
      <c r="DG381" s="58">
        <v>4.7499999999999876</v>
      </c>
      <c r="DH381" s="58">
        <v>47.77</v>
      </c>
      <c r="DI381" s="45" t="s">
        <v>29</v>
      </c>
      <c r="DJ381" s="59" t="str">
        <f t="shared" si="188"/>
        <v>N/A</v>
      </c>
      <c r="DK381" s="65">
        <v>7656</v>
      </c>
      <c r="DL381" s="58">
        <v>42.77</v>
      </c>
      <c r="DM381" s="58">
        <v>8.4599999999999991</v>
      </c>
      <c r="DN381" s="58">
        <v>19.72</v>
      </c>
      <c r="DO381" s="58">
        <v>57.230000000000004</v>
      </c>
      <c r="DP381" s="66">
        <v>51.8</v>
      </c>
      <c r="DQ381" s="67">
        <v>70224.81</v>
      </c>
      <c r="DR381" s="53">
        <v>6.4</v>
      </c>
      <c r="DS381" s="58">
        <v>74.5</v>
      </c>
      <c r="DT381" s="53">
        <v>60.6</v>
      </c>
      <c r="DU381" s="55">
        <v>2.57</v>
      </c>
      <c r="DV381" s="102">
        <v>37.700000000000003</v>
      </c>
      <c r="DW381" s="53">
        <v>80.900000000000006</v>
      </c>
      <c r="DX381" s="53">
        <v>76.013800000000003</v>
      </c>
      <c r="DY381" s="53">
        <v>38.331400000000002</v>
      </c>
      <c r="DZ381" s="63"/>
    </row>
    <row r="382" spans="1:130" s="5" customFormat="1" ht="14.25" hidden="1" customHeight="1">
      <c r="A382" s="45">
        <v>1369</v>
      </c>
      <c r="B382" s="46" t="s">
        <v>331</v>
      </c>
      <c r="C382" s="47">
        <v>2002</v>
      </c>
      <c r="D382" s="47" t="s">
        <v>76</v>
      </c>
      <c r="E382" s="46" t="s">
        <v>77</v>
      </c>
      <c r="F382" s="46">
        <v>4</v>
      </c>
      <c r="G382" s="48">
        <v>15000</v>
      </c>
      <c r="H382" s="46" t="s">
        <v>332</v>
      </c>
      <c r="I382" s="46">
        <v>1</v>
      </c>
      <c r="J382" s="46">
        <v>1</v>
      </c>
      <c r="K382" s="49" t="s">
        <v>353</v>
      </c>
      <c r="L382" s="49" t="s">
        <v>30</v>
      </c>
      <c r="M382" s="49" t="s">
        <v>29</v>
      </c>
      <c r="N382" s="49" t="s">
        <v>512</v>
      </c>
      <c r="O382" s="49"/>
      <c r="P382" s="49" t="s">
        <v>201</v>
      </c>
      <c r="Q382" s="49" t="s">
        <v>35</v>
      </c>
      <c r="R382" s="49">
        <v>0</v>
      </c>
      <c r="S382" s="50">
        <f t="shared" si="181"/>
        <v>0</v>
      </c>
      <c r="T382" s="49">
        <v>1</v>
      </c>
      <c r="U382" s="50">
        <f t="shared" si="182"/>
        <v>100</v>
      </c>
      <c r="V382" s="49" t="s">
        <v>858</v>
      </c>
      <c r="W382" s="49">
        <v>0</v>
      </c>
      <c r="X382" s="50">
        <f t="shared" si="183"/>
        <v>0</v>
      </c>
      <c r="Y382" s="51" t="str">
        <f t="shared" si="184"/>
        <v>No</v>
      </c>
      <c r="Z382" s="45" t="s">
        <v>35</v>
      </c>
      <c r="AA382" s="49" t="s">
        <v>23</v>
      </c>
      <c r="AB382" s="49" t="s">
        <v>23</v>
      </c>
      <c r="AC382" s="46" t="s">
        <v>26</v>
      </c>
      <c r="AD382" s="46" t="s">
        <v>27</v>
      </c>
      <c r="AE382" s="46" t="s">
        <v>73</v>
      </c>
      <c r="AF382" s="46" t="s">
        <v>29</v>
      </c>
      <c r="AG382" s="103"/>
      <c r="AH382" s="52">
        <v>11852</v>
      </c>
      <c r="AI382" s="52">
        <v>11852</v>
      </c>
      <c r="AJ382" s="102">
        <v>98.75</v>
      </c>
      <c r="AK382" s="104">
        <v>197.5</v>
      </c>
      <c r="AL382" s="102">
        <v>98.75</v>
      </c>
      <c r="AM382" s="102"/>
      <c r="AN382" s="53">
        <f t="shared" si="185"/>
        <v>197.5</v>
      </c>
      <c r="AO382" s="53" t="s">
        <v>23</v>
      </c>
      <c r="AP382" s="102"/>
      <c r="AQ382" s="102"/>
      <c r="AR382" s="102"/>
      <c r="AS382" s="102"/>
      <c r="AT382" s="102"/>
      <c r="AU382" s="102"/>
      <c r="AV382" s="102"/>
      <c r="AW382" s="102"/>
      <c r="AX382" s="102"/>
      <c r="AY382" s="102"/>
      <c r="AZ382" s="102"/>
      <c r="BA382" s="102"/>
      <c r="BB382" s="102"/>
      <c r="BC382" s="102"/>
      <c r="BD382" s="102"/>
      <c r="BE382" s="102"/>
      <c r="BF382" s="102"/>
      <c r="BG382" s="102"/>
      <c r="BH382" s="102"/>
      <c r="BI382" s="102"/>
      <c r="BJ382" s="102"/>
      <c r="BK382" s="102"/>
      <c r="BL382" s="102"/>
      <c r="BM382" s="102"/>
      <c r="BN382" s="102"/>
      <c r="BO382" s="102"/>
      <c r="BP382" s="102"/>
      <c r="BQ382" s="102"/>
      <c r="BR382" s="102"/>
      <c r="BS382" s="54" t="s">
        <v>23</v>
      </c>
      <c r="BT382" s="45" t="str">
        <f t="shared" si="189"/>
        <v>No</v>
      </c>
      <c r="BU382" s="45" t="str">
        <f t="shared" si="190"/>
        <v>No</v>
      </c>
      <c r="BV382" s="45" t="str">
        <f t="shared" si="191"/>
        <v>No</v>
      </c>
      <c r="BW382" s="55">
        <v>87.726444032874198</v>
      </c>
      <c r="BX382" s="55"/>
      <c r="BY382" s="55">
        <v>87.471444032874174</v>
      </c>
      <c r="BZ382" s="55"/>
      <c r="CA382" s="45">
        <v>2000</v>
      </c>
      <c r="CB382" s="55">
        <f t="shared" si="187"/>
        <v>22.575238095238095</v>
      </c>
      <c r="CC382" s="46" t="s">
        <v>348</v>
      </c>
      <c r="CD382" s="46" t="s">
        <v>267</v>
      </c>
      <c r="CE382" s="46" t="s">
        <v>783</v>
      </c>
      <c r="CF382" s="46">
        <v>2</v>
      </c>
      <c r="CG382" s="46" t="str">
        <f t="shared" si="186"/>
        <v>No</v>
      </c>
      <c r="CH382" s="46" t="s">
        <v>35</v>
      </c>
      <c r="CI382" s="56">
        <v>0</v>
      </c>
      <c r="CJ382" s="46">
        <v>20</v>
      </c>
      <c r="CK382" s="46" t="s">
        <v>23</v>
      </c>
      <c r="CL382" s="49" t="s">
        <v>29</v>
      </c>
      <c r="CM382" s="50">
        <v>0</v>
      </c>
      <c r="CN382" s="50"/>
      <c r="CO382" s="50"/>
      <c r="CP382" s="46" t="s">
        <v>35</v>
      </c>
      <c r="CQ382" s="46" t="s">
        <v>24</v>
      </c>
      <c r="CR382" s="46">
        <v>7</v>
      </c>
      <c r="CS382" s="46" t="s">
        <v>854</v>
      </c>
      <c r="CT382" s="46" t="s">
        <v>53</v>
      </c>
      <c r="CU382" s="46" t="s">
        <v>74</v>
      </c>
      <c r="CV382" s="46">
        <v>2</v>
      </c>
      <c r="CW382" s="46" t="s">
        <v>23</v>
      </c>
      <c r="CX382" s="49" t="s">
        <v>743</v>
      </c>
      <c r="CY382" s="49" t="s">
        <v>36</v>
      </c>
      <c r="CZ382" s="49">
        <v>0</v>
      </c>
      <c r="DA382" s="49">
        <v>1</v>
      </c>
      <c r="DB382" s="64">
        <v>52500</v>
      </c>
      <c r="DC382" s="58">
        <v>52.23</v>
      </c>
      <c r="DD382" s="58">
        <v>10.059999999999999</v>
      </c>
      <c r="DE382" s="58">
        <v>15.07</v>
      </c>
      <c r="DF382" s="58">
        <v>17.89</v>
      </c>
      <c r="DG382" s="58">
        <v>4.7499999999999876</v>
      </c>
      <c r="DH382" s="58">
        <v>47.77</v>
      </c>
      <c r="DI382" s="45" t="s">
        <v>29</v>
      </c>
      <c r="DJ382" s="59" t="str">
        <f t="shared" si="188"/>
        <v>N/A</v>
      </c>
      <c r="DK382" s="65">
        <v>8713</v>
      </c>
      <c r="DL382" s="58">
        <v>55.37</v>
      </c>
      <c r="DM382" s="58">
        <v>14.610000000000001</v>
      </c>
      <c r="DN382" s="58">
        <v>13.76</v>
      </c>
      <c r="DO382" s="58">
        <v>44.63</v>
      </c>
      <c r="DP382" s="66">
        <v>51.8</v>
      </c>
      <c r="DQ382" s="67">
        <v>70224.81</v>
      </c>
      <c r="DR382" s="53">
        <v>6.4</v>
      </c>
      <c r="DS382" s="58">
        <v>74.5</v>
      </c>
      <c r="DT382" s="53">
        <v>60.6</v>
      </c>
      <c r="DU382" s="55">
        <v>2.57</v>
      </c>
      <c r="DV382" s="102">
        <v>37.700000000000003</v>
      </c>
      <c r="DW382" s="53">
        <v>80.900000000000006</v>
      </c>
      <c r="DX382" s="53">
        <v>76.013800000000003</v>
      </c>
      <c r="DY382" s="53">
        <v>38.331400000000002</v>
      </c>
      <c r="DZ382" s="63"/>
    </row>
    <row r="383" spans="1:130" s="5" customFormat="1" ht="14.25" hidden="1" customHeight="1">
      <c r="A383" s="45">
        <v>1370</v>
      </c>
      <c r="B383" s="46" t="s">
        <v>331</v>
      </c>
      <c r="C383" s="47">
        <v>2002</v>
      </c>
      <c r="D383" s="47" t="s">
        <v>94</v>
      </c>
      <c r="E383" s="46" t="s">
        <v>95</v>
      </c>
      <c r="F383" s="46">
        <v>4</v>
      </c>
      <c r="G383" s="48">
        <v>15000</v>
      </c>
      <c r="H383" s="46" t="s">
        <v>332</v>
      </c>
      <c r="I383" s="46">
        <v>1</v>
      </c>
      <c r="J383" s="46">
        <v>2</v>
      </c>
      <c r="K383" s="49" t="s">
        <v>354</v>
      </c>
      <c r="L383" s="49" t="s">
        <v>40</v>
      </c>
      <c r="M383" s="49" t="s">
        <v>35</v>
      </c>
      <c r="N383" s="49" t="s">
        <v>513</v>
      </c>
      <c r="O383" s="49"/>
      <c r="P383" s="49" t="s">
        <v>31</v>
      </c>
      <c r="Q383" s="49" t="s">
        <v>29</v>
      </c>
      <c r="R383" s="49">
        <v>1</v>
      </c>
      <c r="S383" s="50">
        <f t="shared" si="181"/>
        <v>50</v>
      </c>
      <c r="T383" s="49">
        <v>0</v>
      </c>
      <c r="U383" s="50">
        <f t="shared" si="182"/>
        <v>0</v>
      </c>
      <c r="V383" s="45"/>
      <c r="W383" s="49">
        <v>0</v>
      </c>
      <c r="X383" s="50">
        <f t="shared" si="183"/>
        <v>0</v>
      </c>
      <c r="Y383" s="51" t="str">
        <f t="shared" si="184"/>
        <v>No</v>
      </c>
      <c r="Z383" s="45" t="s">
        <v>29</v>
      </c>
      <c r="AA383" s="49" t="s">
        <v>29</v>
      </c>
      <c r="AB383" s="45" t="s">
        <v>35</v>
      </c>
      <c r="AC383" s="46" t="s">
        <v>26</v>
      </c>
      <c r="AD383" s="46" t="s">
        <v>27</v>
      </c>
      <c r="AE383" s="46" t="s">
        <v>73</v>
      </c>
      <c r="AF383" s="46" t="s">
        <v>29</v>
      </c>
      <c r="AG383" s="103"/>
      <c r="AH383" s="52">
        <v>14292</v>
      </c>
      <c r="AI383" s="52">
        <v>14292</v>
      </c>
      <c r="AJ383" s="102">
        <v>64.47</v>
      </c>
      <c r="AK383" s="104">
        <v>128.94</v>
      </c>
      <c r="AL383" s="102">
        <v>64.47</v>
      </c>
      <c r="AM383" s="102"/>
      <c r="AN383" s="53">
        <f t="shared" si="185"/>
        <v>128.94</v>
      </c>
      <c r="AO383" s="53">
        <v>35.33</v>
      </c>
      <c r="AP383" s="102"/>
      <c r="AQ383" s="102"/>
      <c r="AR383" s="50"/>
      <c r="AS383" s="50"/>
      <c r="AT383" s="102"/>
      <c r="AU383" s="102"/>
      <c r="AV383" s="102"/>
      <c r="AW383" s="102"/>
      <c r="AX383" s="50"/>
      <c r="AY383" s="50"/>
      <c r="AZ383" s="102"/>
      <c r="BA383" s="102"/>
      <c r="BB383" s="102"/>
      <c r="BC383" s="102"/>
      <c r="BD383" s="50"/>
      <c r="BE383" s="50"/>
      <c r="BF383" s="50"/>
      <c r="BG383" s="50"/>
      <c r="BH383" s="102"/>
      <c r="BI383" s="102"/>
      <c r="BJ383" s="102"/>
      <c r="BK383" s="102"/>
      <c r="BL383" s="102"/>
      <c r="BM383" s="102"/>
      <c r="BN383" s="102"/>
      <c r="BO383" s="50"/>
      <c r="BP383" s="50"/>
      <c r="BQ383" s="50"/>
      <c r="BR383" s="102"/>
      <c r="BS383" s="54" t="s">
        <v>29</v>
      </c>
      <c r="BT383" s="45" t="str">
        <f t="shared" si="189"/>
        <v>Yes</v>
      </c>
      <c r="BU383" s="45" t="str">
        <f t="shared" si="190"/>
        <v>No</v>
      </c>
      <c r="BV383" s="45" t="str">
        <f t="shared" si="191"/>
        <v>No</v>
      </c>
      <c r="BW383" s="55">
        <v>87.726444032874198</v>
      </c>
      <c r="BX383" s="55"/>
      <c r="BY383" s="55">
        <v>87.471444032874174</v>
      </c>
      <c r="BZ383" s="55"/>
      <c r="CA383" s="45">
        <v>2000</v>
      </c>
      <c r="CB383" s="55">
        <f t="shared" si="187"/>
        <v>27.222857142857144</v>
      </c>
      <c r="CC383" s="46" t="s">
        <v>348</v>
      </c>
      <c r="CD383" s="46" t="s">
        <v>267</v>
      </c>
      <c r="CE383" s="46" t="s">
        <v>783</v>
      </c>
      <c r="CF383" s="46">
        <v>2</v>
      </c>
      <c r="CG383" s="46" t="str">
        <f t="shared" si="186"/>
        <v>No</v>
      </c>
      <c r="CH383" s="46" t="s">
        <v>35</v>
      </c>
      <c r="CI383" s="56">
        <v>0</v>
      </c>
      <c r="CJ383" s="46">
        <v>20</v>
      </c>
      <c r="CK383" s="46" t="s">
        <v>23</v>
      </c>
      <c r="CL383" s="49" t="s">
        <v>29</v>
      </c>
      <c r="CM383" s="50">
        <v>0</v>
      </c>
      <c r="CN383" s="50"/>
      <c r="CO383" s="50"/>
      <c r="CP383" s="46" t="s">
        <v>35</v>
      </c>
      <c r="CQ383" s="46" t="s">
        <v>24</v>
      </c>
      <c r="CR383" s="46">
        <v>7</v>
      </c>
      <c r="CS383" s="46" t="s">
        <v>854</v>
      </c>
      <c r="CT383" s="46" t="s">
        <v>53</v>
      </c>
      <c r="CU383" s="46" t="s">
        <v>74</v>
      </c>
      <c r="CV383" s="46">
        <v>2</v>
      </c>
      <c r="CW383" s="46" t="s">
        <v>23</v>
      </c>
      <c r="CX383" s="49" t="s">
        <v>743</v>
      </c>
      <c r="CY383" s="49" t="s">
        <v>36</v>
      </c>
      <c r="CZ383" s="49">
        <v>0</v>
      </c>
      <c r="DA383" s="49">
        <v>1</v>
      </c>
      <c r="DB383" s="64">
        <v>52500</v>
      </c>
      <c r="DC383" s="58">
        <v>52.23</v>
      </c>
      <c r="DD383" s="58">
        <v>10.059999999999999</v>
      </c>
      <c r="DE383" s="58">
        <v>15.07</v>
      </c>
      <c r="DF383" s="58">
        <v>17.89</v>
      </c>
      <c r="DG383" s="58">
        <v>4.7499999999999876</v>
      </c>
      <c r="DH383" s="58">
        <v>47.77</v>
      </c>
      <c r="DI383" s="45" t="s">
        <v>29</v>
      </c>
      <c r="DJ383" s="59" t="str">
        <f t="shared" si="188"/>
        <v>N/A</v>
      </c>
      <c r="DK383" s="65">
        <v>11433</v>
      </c>
      <c r="DL383" s="58">
        <v>48.78</v>
      </c>
      <c r="DM383" s="58">
        <v>6.5699999999999994</v>
      </c>
      <c r="DN383" s="58">
        <v>10.93</v>
      </c>
      <c r="DO383" s="58">
        <v>53.12</v>
      </c>
      <c r="DP383" s="66">
        <v>51.8</v>
      </c>
      <c r="DQ383" s="67">
        <v>70224.81</v>
      </c>
      <c r="DR383" s="53">
        <v>6.4</v>
      </c>
      <c r="DS383" s="58">
        <v>74.5</v>
      </c>
      <c r="DT383" s="53">
        <v>60.6</v>
      </c>
      <c r="DU383" s="55">
        <v>2.57</v>
      </c>
      <c r="DV383" s="102">
        <v>37.700000000000003</v>
      </c>
      <c r="DW383" s="53">
        <v>80.900000000000006</v>
      </c>
      <c r="DX383" s="53">
        <v>76.013800000000003</v>
      </c>
      <c r="DY383" s="53">
        <v>38.331400000000002</v>
      </c>
      <c r="DZ383" s="63"/>
    </row>
    <row r="384" spans="1:130" s="5" customFormat="1" ht="14.25" hidden="1" customHeight="1">
      <c r="A384" s="45">
        <v>1371</v>
      </c>
      <c r="B384" s="46" t="s">
        <v>331</v>
      </c>
      <c r="C384" s="47">
        <v>2002</v>
      </c>
      <c r="D384" s="47" t="s">
        <v>97</v>
      </c>
      <c r="E384" s="46" t="s">
        <v>98</v>
      </c>
      <c r="F384" s="46">
        <v>4</v>
      </c>
      <c r="G384" s="48">
        <v>15000</v>
      </c>
      <c r="H384" s="46" t="s">
        <v>332</v>
      </c>
      <c r="I384" s="46">
        <v>1</v>
      </c>
      <c r="J384" s="46">
        <v>1</v>
      </c>
      <c r="K384" s="49" t="s">
        <v>347</v>
      </c>
      <c r="L384" s="49" t="s">
        <v>30</v>
      </c>
      <c r="M384" s="49" t="s">
        <v>29</v>
      </c>
      <c r="N384" s="49" t="s">
        <v>512</v>
      </c>
      <c r="O384" s="49"/>
      <c r="P384" s="49" t="s">
        <v>31</v>
      </c>
      <c r="Q384" s="49" t="s">
        <v>29</v>
      </c>
      <c r="R384" s="49">
        <v>0</v>
      </c>
      <c r="S384" s="50">
        <f t="shared" ref="S384:S406" si="193">(R384/J384)*100</f>
        <v>0</v>
      </c>
      <c r="T384" s="49">
        <v>0</v>
      </c>
      <c r="U384" s="50">
        <f t="shared" ref="U384:U406" si="194">(T384/J384)*100</f>
        <v>0</v>
      </c>
      <c r="V384" s="45"/>
      <c r="W384" s="49">
        <v>0</v>
      </c>
      <c r="X384" s="50">
        <f t="shared" ref="X384:X406" si="195">(W384/J384)*100</f>
        <v>0</v>
      </c>
      <c r="Y384" s="51" t="str">
        <f t="shared" ref="Y384:Y406" si="196">IF(L384="M","No", IF(P384="n/a","No",IF(P384="white","No","Yes")))</f>
        <v>No</v>
      </c>
      <c r="Z384" s="45" t="s">
        <v>35</v>
      </c>
      <c r="AA384" s="49" t="s">
        <v>23</v>
      </c>
      <c r="AB384" s="49" t="s">
        <v>23</v>
      </c>
      <c r="AC384" s="46" t="s">
        <v>26</v>
      </c>
      <c r="AD384" s="46" t="s">
        <v>27</v>
      </c>
      <c r="AE384" s="46" t="s">
        <v>73</v>
      </c>
      <c r="AF384" s="46" t="s">
        <v>29</v>
      </c>
      <c r="AG384" s="103"/>
      <c r="AH384" s="52">
        <v>11890</v>
      </c>
      <c r="AI384" s="52">
        <v>11890</v>
      </c>
      <c r="AJ384" s="102">
        <v>98.98</v>
      </c>
      <c r="AK384" s="104">
        <v>197.96</v>
      </c>
      <c r="AL384" s="102">
        <v>98.98</v>
      </c>
      <c r="AM384" s="102"/>
      <c r="AN384" s="53">
        <f t="shared" ref="AN384:AN406" si="197">AL384/(1/(I384+1))</f>
        <v>197.96</v>
      </c>
      <c r="AO384" s="53" t="s">
        <v>23</v>
      </c>
      <c r="AP384" s="102"/>
      <c r="AQ384" s="102"/>
      <c r="AR384" s="102"/>
      <c r="AS384" s="102"/>
      <c r="AT384" s="102"/>
      <c r="AU384" s="102"/>
      <c r="AV384" s="102"/>
      <c r="AW384" s="102"/>
      <c r="AX384" s="102"/>
      <c r="AY384" s="102"/>
      <c r="AZ384" s="102"/>
      <c r="BA384" s="102"/>
      <c r="BB384" s="102"/>
      <c r="BC384" s="102"/>
      <c r="BD384" s="102"/>
      <c r="BE384" s="102"/>
      <c r="BF384" s="102"/>
      <c r="BG384" s="102"/>
      <c r="BH384" s="102"/>
      <c r="BI384" s="102"/>
      <c r="BJ384" s="102"/>
      <c r="BK384" s="102"/>
      <c r="BL384" s="102"/>
      <c r="BM384" s="102"/>
      <c r="BN384" s="102"/>
      <c r="BO384" s="102"/>
      <c r="BP384" s="102"/>
      <c r="BQ384" s="102"/>
      <c r="BR384" s="102"/>
      <c r="BS384" s="54" t="s">
        <v>23</v>
      </c>
      <c r="BT384" s="45" t="str">
        <f t="shared" si="189"/>
        <v>No</v>
      </c>
      <c r="BU384" s="45" t="str">
        <f t="shared" si="190"/>
        <v>No</v>
      </c>
      <c r="BV384" s="45" t="str">
        <f t="shared" si="191"/>
        <v>No</v>
      </c>
      <c r="BW384" s="55">
        <v>87.726444032874198</v>
      </c>
      <c r="BX384" s="55"/>
      <c r="BY384" s="55">
        <v>87.471444032874189</v>
      </c>
      <c r="BZ384" s="55"/>
      <c r="CA384" s="45">
        <v>2000</v>
      </c>
      <c r="CB384" s="55">
        <f t="shared" si="187"/>
        <v>22.647619047619045</v>
      </c>
      <c r="CC384" s="46" t="s">
        <v>348</v>
      </c>
      <c r="CD384" s="46" t="s">
        <v>267</v>
      </c>
      <c r="CE384" s="46" t="s">
        <v>783</v>
      </c>
      <c r="CF384" s="46">
        <v>2</v>
      </c>
      <c r="CG384" s="46" t="str">
        <f t="shared" ref="CG384:CG406" si="198">IF(CD384="Primary (decisive)", "Yes", "No")</f>
        <v>No</v>
      </c>
      <c r="CH384" s="46" t="s">
        <v>35</v>
      </c>
      <c r="CI384" s="56">
        <v>0</v>
      </c>
      <c r="CJ384" s="46">
        <v>20</v>
      </c>
      <c r="CK384" s="46" t="s">
        <v>23</v>
      </c>
      <c r="CL384" s="49" t="s">
        <v>29</v>
      </c>
      <c r="CM384" s="50">
        <v>0</v>
      </c>
      <c r="CN384" s="50"/>
      <c r="CO384" s="50"/>
      <c r="CP384" s="46" t="s">
        <v>35</v>
      </c>
      <c r="CQ384" s="46" t="s">
        <v>24</v>
      </c>
      <c r="CR384" s="46">
        <v>7</v>
      </c>
      <c r="CS384" s="46" t="s">
        <v>854</v>
      </c>
      <c r="CT384" s="46" t="s">
        <v>53</v>
      </c>
      <c r="CU384" s="46" t="s">
        <v>74</v>
      </c>
      <c r="CV384" s="46">
        <v>2</v>
      </c>
      <c r="CW384" s="46" t="s">
        <v>23</v>
      </c>
      <c r="CX384" s="49" t="s">
        <v>743</v>
      </c>
      <c r="CY384" s="49" t="s">
        <v>36</v>
      </c>
      <c r="CZ384" s="49">
        <v>0</v>
      </c>
      <c r="DA384" s="49">
        <v>1</v>
      </c>
      <c r="DB384" s="64">
        <v>52500</v>
      </c>
      <c r="DC384" s="58">
        <v>52.23</v>
      </c>
      <c r="DD384" s="58">
        <v>10.059999999999999</v>
      </c>
      <c r="DE384" s="58">
        <v>15.07</v>
      </c>
      <c r="DF384" s="58">
        <v>17.89</v>
      </c>
      <c r="DG384" s="58">
        <v>4.7499999999999876</v>
      </c>
      <c r="DH384" s="58">
        <v>47.77</v>
      </c>
      <c r="DI384" s="45" t="s">
        <v>29</v>
      </c>
      <c r="DJ384" s="59" t="str">
        <f t="shared" si="188"/>
        <v>N/A</v>
      </c>
      <c r="DK384" s="65">
        <v>8849</v>
      </c>
      <c r="DL384" s="58">
        <v>57.84</v>
      </c>
      <c r="DM384" s="58">
        <v>14.42</v>
      </c>
      <c r="DN384" s="58">
        <v>13.74</v>
      </c>
      <c r="DO384" s="58">
        <v>42.16</v>
      </c>
      <c r="DP384" s="66">
        <v>51.8</v>
      </c>
      <c r="DQ384" s="67">
        <v>70224.81</v>
      </c>
      <c r="DR384" s="53">
        <v>6.4</v>
      </c>
      <c r="DS384" s="58">
        <v>74.5</v>
      </c>
      <c r="DT384" s="53">
        <v>60.6</v>
      </c>
      <c r="DU384" s="55">
        <v>2.57</v>
      </c>
      <c r="DV384" s="102">
        <v>37.700000000000003</v>
      </c>
      <c r="DW384" s="53">
        <v>80.900000000000006</v>
      </c>
      <c r="DX384" s="53">
        <v>76.013800000000003</v>
      </c>
      <c r="DY384" s="53">
        <v>38.331400000000002</v>
      </c>
      <c r="DZ384" s="63"/>
    </row>
    <row r="385" spans="1:130" s="5" customFormat="1" ht="14.25" hidden="1" customHeight="1">
      <c r="A385" s="45">
        <v>1368</v>
      </c>
      <c r="B385" s="46" t="s">
        <v>331</v>
      </c>
      <c r="C385" s="47">
        <v>2002</v>
      </c>
      <c r="D385" s="47" t="s">
        <v>38</v>
      </c>
      <c r="E385" s="46" t="s">
        <v>22</v>
      </c>
      <c r="F385" s="46">
        <v>4</v>
      </c>
      <c r="G385" s="48">
        <v>35000</v>
      </c>
      <c r="H385" s="46" t="s">
        <v>332</v>
      </c>
      <c r="I385" s="46">
        <v>1</v>
      </c>
      <c r="J385" s="46">
        <v>3</v>
      </c>
      <c r="K385" s="49" t="s">
        <v>352</v>
      </c>
      <c r="L385" s="49" t="s">
        <v>40</v>
      </c>
      <c r="M385" s="49" t="s">
        <v>35</v>
      </c>
      <c r="N385" s="49" t="s">
        <v>513</v>
      </c>
      <c r="O385" s="49"/>
      <c r="P385" s="49" t="s">
        <v>31</v>
      </c>
      <c r="Q385" s="49" t="s">
        <v>29</v>
      </c>
      <c r="R385" s="49">
        <v>1</v>
      </c>
      <c r="S385" s="50">
        <f t="shared" si="193"/>
        <v>33.333333333333329</v>
      </c>
      <c r="T385" s="49">
        <v>0</v>
      </c>
      <c r="U385" s="50">
        <f t="shared" si="194"/>
        <v>0</v>
      </c>
      <c r="V385" s="45"/>
      <c r="W385" s="49">
        <v>0</v>
      </c>
      <c r="X385" s="50">
        <f t="shared" si="195"/>
        <v>0</v>
      </c>
      <c r="Y385" s="51" t="str">
        <f t="shared" si="196"/>
        <v>No</v>
      </c>
      <c r="Z385" s="49" t="s">
        <v>29</v>
      </c>
      <c r="AA385" s="49" t="s">
        <v>29</v>
      </c>
      <c r="AB385" s="45" t="s">
        <v>35</v>
      </c>
      <c r="AC385" s="46" t="s">
        <v>26</v>
      </c>
      <c r="AD385" s="46" t="s">
        <v>27</v>
      </c>
      <c r="AE385" s="46" t="s">
        <v>73</v>
      </c>
      <c r="AF385" s="46" t="s">
        <v>29</v>
      </c>
      <c r="AG385" s="103"/>
      <c r="AH385" s="52">
        <v>16857</v>
      </c>
      <c r="AI385" s="52">
        <v>16857</v>
      </c>
      <c r="AJ385" s="102">
        <v>79.069999999999993</v>
      </c>
      <c r="AK385" s="104">
        <v>158.13999999999999</v>
      </c>
      <c r="AL385" s="102">
        <v>79.069999999999993</v>
      </c>
      <c r="AM385" s="102"/>
      <c r="AN385" s="53">
        <f t="shared" si="197"/>
        <v>158.13999999999999</v>
      </c>
      <c r="AO385" s="53">
        <v>10.53</v>
      </c>
      <c r="AP385" s="102"/>
      <c r="AQ385" s="102"/>
      <c r="AR385" s="50"/>
      <c r="AS385" s="50"/>
      <c r="AT385" s="102"/>
      <c r="AU385" s="102"/>
      <c r="AV385" s="102"/>
      <c r="AW385" s="102"/>
      <c r="AX385" s="50"/>
      <c r="AY385" s="50"/>
      <c r="AZ385" s="102"/>
      <c r="BA385" s="102"/>
      <c r="BB385" s="102"/>
      <c r="BC385" s="102"/>
      <c r="BD385" s="50"/>
      <c r="BE385" s="50"/>
      <c r="BF385" s="50"/>
      <c r="BG385" s="50"/>
      <c r="BH385" s="102"/>
      <c r="BI385" s="102"/>
      <c r="BJ385" s="102"/>
      <c r="BK385" s="102"/>
      <c r="BL385" s="102"/>
      <c r="BM385" s="102"/>
      <c r="BN385" s="102"/>
      <c r="BO385" s="50"/>
      <c r="BP385" s="50"/>
      <c r="BQ385" s="50"/>
      <c r="BR385" s="102"/>
      <c r="BS385" s="54" t="s">
        <v>29</v>
      </c>
      <c r="BT385" s="45" t="str">
        <f t="shared" si="189"/>
        <v>No</v>
      </c>
      <c r="BU385" s="45" t="str">
        <f t="shared" si="190"/>
        <v>No</v>
      </c>
      <c r="BV385" s="45" t="str">
        <f t="shared" si="191"/>
        <v>No</v>
      </c>
      <c r="BW385" s="55">
        <v>87.726444032874198</v>
      </c>
      <c r="BX385" s="55">
        <v>87.726444032874198</v>
      </c>
      <c r="BY385" s="55">
        <v>87.471444032874174</v>
      </c>
      <c r="BZ385" s="55">
        <f>BX385-(0.0051*100/2)</f>
        <v>87.471444032874203</v>
      </c>
      <c r="CA385" s="45">
        <v>2000</v>
      </c>
      <c r="CB385" s="55">
        <f t="shared" ref="CB385:CB406" si="199">((AI385/I385)/DB385)*100</f>
        <v>32.10857142857143</v>
      </c>
      <c r="CC385" s="46" t="s">
        <v>266</v>
      </c>
      <c r="CD385" s="46" t="s">
        <v>267</v>
      </c>
      <c r="CE385" s="46" t="s">
        <v>783</v>
      </c>
      <c r="CF385" s="46">
        <v>2</v>
      </c>
      <c r="CG385" s="46" t="str">
        <f t="shared" si="198"/>
        <v>No</v>
      </c>
      <c r="CH385" s="46" t="s">
        <v>35</v>
      </c>
      <c r="CI385" s="56">
        <v>0</v>
      </c>
      <c r="CJ385" s="46">
        <v>20</v>
      </c>
      <c r="CK385" s="46" t="s">
        <v>23</v>
      </c>
      <c r="CL385" s="49" t="s">
        <v>29</v>
      </c>
      <c r="CM385" s="50">
        <v>0</v>
      </c>
      <c r="CN385" s="50"/>
      <c r="CO385" s="50"/>
      <c r="CP385" s="46" t="s">
        <v>23</v>
      </c>
      <c r="CQ385" s="46" t="s">
        <v>23</v>
      </c>
      <c r="CR385" s="46">
        <v>7</v>
      </c>
      <c r="CS385" s="46" t="s">
        <v>854</v>
      </c>
      <c r="CT385" s="46" t="s">
        <v>53</v>
      </c>
      <c r="CU385" s="46" t="s">
        <v>74</v>
      </c>
      <c r="CV385" s="46">
        <v>2</v>
      </c>
      <c r="CW385" s="46" t="s">
        <v>23</v>
      </c>
      <c r="CX385" s="49" t="s">
        <v>743</v>
      </c>
      <c r="CY385" s="49" t="s">
        <v>36</v>
      </c>
      <c r="CZ385" s="49">
        <v>0</v>
      </c>
      <c r="DA385" s="49">
        <v>1</v>
      </c>
      <c r="DB385" s="64">
        <v>52500</v>
      </c>
      <c r="DC385" s="58">
        <v>52.23</v>
      </c>
      <c r="DD385" s="58">
        <v>10.059999999999999</v>
      </c>
      <c r="DE385" s="58">
        <v>15.07</v>
      </c>
      <c r="DF385" s="58">
        <v>17.89</v>
      </c>
      <c r="DG385" s="58">
        <v>4.7499999999999876</v>
      </c>
      <c r="DH385" s="58">
        <v>47.77</v>
      </c>
      <c r="DI385" s="45" t="s">
        <v>29</v>
      </c>
      <c r="DJ385" s="59" t="str">
        <f t="shared" si="188"/>
        <v>N/A</v>
      </c>
      <c r="DK385" s="65">
        <v>52500</v>
      </c>
      <c r="DL385" s="58">
        <v>52.23</v>
      </c>
      <c r="DM385" s="58">
        <v>10.059999999999999</v>
      </c>
      <c r="DN385" s="58">
        <v>15.07</v>
      </c>
      <c r="DO385" s="58">
        <v>47.77</v>
      </c>
      <c r="DP385" s="66">
        <v>51.8</v>
      </c>
      <c r="DQ385" s="67">
        <v>70224.81</v>
      </c>
      <c r="DR385" s="53">
        <v>6.4</v>
      </c>
      <c r="DS385" s="58">
        <v>74.5</v>
      </c>
      <c r="DT385" s="53">
        <v>60.6</v>
      </c>
      <c r="DU385" s="55">
        <v>2.57</v>
      </c>
      <c r="DV385" s="50">
        <v>37.700000000000003</v>
      </c>
      <c r="DW385" s="53">
        <v>80.900000000000006</v>
      </c>
      <c r="DX385" s="53">
        <v>76.013800000000003</v>
      </c>
      <c r="DY385" s="53">
        <v>38.331400000000002</v>
      </c>
      <c r="DZ385" s="63"/>
    </row>
    <row r="386" spans="1:130" s="5" customFormat="1" ht="14.25" hidden="1" customHeight="1">
      <c r="A386" s="45">
        <v>1365</v>
      </c>
      <c r="B386" s="46" t="s">
        <v>331</v>
      </c>
      <c r="C386" s="47">
        <v>2004</v>
      </c>
      <c r="D386" s="47" t="s">
        <v>91</v>
      </c>
      <c r="E386" s="46" t="s">
        <v>92</v>
      </c>
      <c r="F386" s="46">
        <v>4</v>
      </c>
      <c r="G386" s="48">
        <v>15000</v>
      </c>
      <c r="H386" s="46" t="s">
        <v>332</v>
      </c>
      <c r="I386" s="46">
        <v>1</v>
      </c>
      <c r="J386" s="46">
        <v>2</v>
      </c>
      <c r="K386" s="49" t="s">
        <v>349</v>
      </c>
      <c r="L386" s="49" t="s">
        <v>40</v>
      </c>
      <c r="M386" s="49" t="s">
        <v>35</v>
      </c>
      <c r="N386" s="49" t="s">
        <v>513</v>
      </c>
      <c r="O386" s="49"/>
      <c r="P386" s="49" t="s">
        <v>201</v>
      </c>
      <c r="Q386" s="49" t="s">
        <v>35</v>
      </c>
      <c r="R386" s="49">
        <v>1</v>
      </c>
      <c r="S386" s="50">
        <f t="shared" si="193"/>
        <v>50</v>
      </c>
      <c r="T386" s="49">
        <v>1</v>
      </c>
      <c r="U386" s="50">
        <f t="shared" si="194"/>
        <v>50</v>
      </c>
      <c r="V386" s="49" t="s">
        <v>858</v>
      </c>
      <c r="W386" s="49">
        <v>1</v>
      </c>
      <c r="X386" s="50">
        <f t="shared" si="195"/>
        <v>50</v>
      </c>
      <c r="Y386" s="51" t="str">
        <f t="shared" si="196"/>
        <v>Yes</v>
      </c>
      <c r="Z386" s="49" t="s">
        <v>29</v>
      </c>
      <c r="AA386" s="49" t="s">
        <v>35</v>
      </c>
      <c r="AB386" s="45" t="s">
        <v>35</v>
      </c>
      <c r="AC386" s="46" t="s">
        <v>26</v>
      </c>
      <c r="AD386" s="46" t="s">
        <v>27</v>
      </c>
      <c r="AE386" s="46" t="s">
        <v>89</v>
      </c>
      <c r="AF386" s="46" t="s">
        <v>29</v>
      </c>
      <c r="AG386" s="103"/>
      <c r="AH386" s="52">
        <v>24467</v>
      </c>
      <c r="AI386" s="52">
        <v>24467</v>
      </c>
      <c r="AJ386" s="102">
        <v>62.58</v>
      </c>
      <c r="AK386" s="104">
        <v>125.16</v>
      </c>
      <c r="AL386" s="102">
        <v>62.58</v>
      </c>
      <c r="AM386" s="102"/>
      <c r="AN386" s="53">
        <f t="shared" si="197"/>
        <v>125.16</v>
      </c>
      <c r="AO386" s="53">
        <v>37.32</v>
      </c>
      <c r="AP386" s="102"/>
      <c r="AQ386" s="102"/>
      <c r="AR386" s="50"/>
      <c r="AS386" s="50"/>
      <c r="AT386" s="102"/>
      <c r="AU386" s="102"/>
      <c r="AV386" s="102"/>
      <c r="AW386" s="102"/>
      <c r="AX386" s="50"/>
      <c r="AY386" s="50"/>
      <c r="AZ386" s="102"/>
      <c r="BA386" s="102"/>
      <c r="BB386" s="102"/>
      <c r="BC386" s="102"/>
      <c r="BD386" s="50"/>
      <c r="BE386" s="50"/>
      <c r="BF386" s="50"/>
      <c r="BG386" s="50"/>
      <c r="BH386" s="102"/>
      <c r="BI386" s="102"/>
      <c r="BJ386" s="102"/>
      <c r="BK386" s="102"/>
      <c r="BL386" s="102"/>
      <c r="BM386" s="102"/>
      <c r="BN386" s="102"/>
      <c r="BO386" s="50"/>
      <c r="BP386" s="50"/>
      <c r="BQ386" s="50"/>
      <c r="BR386" s="102"/>
      <c r="BS386" s="54" t="s">
        <v>29</v>
      </c>
      <c r="BT386" s="45" t="str">
        <f t="shared" si="189"/>
        <v>Yes</v>
      </c>
      <c r="BU386" s="45" t="str">
        <f t="shared" si="190"/>
        <v>No</v>
      </c>
      <c r="BV386" s="45" t="str">
        <f t="shared" si="191"/>
        <v>No</v>
      </c>
      <c r="BW386" s="55">
        <v>89.089574850866398</v>
      </c>
      <c r="BX386" s="55"/>
      <c r="BY386" s="55">
        <v>90.319574850866388</v>
      </c>
      <c r="BZ386" s="55"/>
      <c r="CA386" s="45">
        <v>2004</v>
      </c>
      <c r="CB386" s="55">
        <f t="shared" si="199"/>
        <v>46.603809523809524</v>
      </c>
      <c r="CC386" s="46" t="s">
        <v>348</v>
      </c>
      <c r="CD386" s="46" t="s">
        <v>267</v>
      </c>
      <c r="CE386" s="46" t="s">
        <v>783</v>
      </c>
      <c r="CF386" s="46">
        <v>2</v>
      </c>
      <c r="CG386" s="46" t="str">
        <f t="shared" si="198"/>
        <v>No</v>
      </c>
      <c r="CH386" s="46" t="s">
        <v>35</v>
      </c>
      <c r="CI386" s="56">
        <v>0</v>
      </c>
      <c r="CJ386" s="46">
        <v>20</v>
      </c>
      <c r="CK386" s="46" t="s">
        <v>23</v>
      </c>
      <c r="CL386" s="49" t="s">
        <v>29</v>
      </c>
      <c r="CM386" s="50">
        <v>0</v>
      </c>
      <c r="CN386" s="102"/>
      <c r="CO386" s="50"/>
      <c r="CP386" s="46" t="s">
        <v>35</v>
      </c>
      <c r="CQ386" s="46" t="s">
        <v>24</v>
      </c>
      <c r="CR386" s="46">
        <v>7</v>
      </c>
      <c r="CS386" s="46" t="s">
        <v>854</v>
      </c>
      <c r="CT386" s="46" t="s">
        <v>53</v>
      </c>
      <c r="CU386" s="46" t="s">
        <v>74</v>
      </c>
      <c r="CV386" s="46">
        <v>2</v>
      </c>
      <c r="CW386" s="46" t="s">
        <v>23</v>
      </c>
      <c r="CX386" s="49" t="s">
        <v>743</v>
      </c>
      <c r="CY386" s="49" t="s">
        <v>36</v>
      </c>
      <c r="CZ386" s="49">
        <v>0</v>
      </c>
      <c r="DA386" s="49">
        <v>1</v>
      </c>
      <c r="DB386" s="64">
        <v>52500</v>
      </c>
      <c r="DC386" s="58">
        <v>52.23</v>
      </c>
      <c r="DD386" s="58">
        <v>10.059999999999999</v>
      </c>
      <c r="DE386" s="58">
        <v>15.07</v>
      </c>
      <c r="DF386" s="58">
        <v>17.89</v>
      </c>
      <c r="DG386" s="58">
        <v>4.7499999999999876</v>
      </c>
      <c r="DH386" s="58">
        <v>47.77</v>
      </c>
      <c r="DI386" s="45" t="s">
        <v>29</v>
      </c>
      <c r="DJ386" s="59" t="str">
        <f t="shared" si="188"/>
        <v>N/A</v>
      </c>
      <c r="DK386" s="65">
        <v>8383</v>
      </c>
      <c r="DL386" s="58">
        <v>52.52</v>
      </c>
      <c r="DM386" s="58">
        <v>12.44</v>
      </c>
      <c r="DN386" s="58">
        <v>16.059999999999999</v>
      </c>
      <c r="DO386" s="58">
        <v>47.48</v>
      </c>
      <c r="DP386" s="66">
        <v>51.8</v>
      </c>
      <c r="DQ386" s="67">
        <v>70224.81</v>
      </c>
      <c r="DR386" s="53">
        <v>6.4</v>
      </c>
      <c r="DS386" s="58">
        <v>74.5</v>
      </c>
      <c r="DT386" s="53">
        <v>60.6</v>
      </c>
      <c r="DU386" s="55">
        <v>2.57</v>
      </c>
      <c r="DV386" s="50">
        <v>37.700000000000003</v>
      </c>
      <c r="DW386" s="53">
        <v>80.900000000000006</v>
      </c>
      <c r="DX386" s="53">
        <v>76.013800000000003</v>
      </c>
      <c r="DY386" s="53">
        <v>38.331400000000002</v>
      </c>
      <c r="DZ386" s="63"/>
    </row>
    <row r="387" spans="1:130" s="5" customFormat="1" ht="14.25" hidden="1" customHeight="1">
      <c r="A387" s="45">
        <v>1366</v>
      </c>
      <c r="B387" s="46" t="s">
        <v>331</v>
      </c>
      <c r="C387" s="47">
        <v>2004</v>
      </c>
      <c r="D387" s="47" t="s">
        <v>79</v>
      </c>
      <c r="E387" s="46" t="s">
        <v>80</v>
      </c>
      <c r="F387" s="46">
        <v>4</v>
      </c>
      <c r="G387" s="48">
        <v>15000</v>
      </c>
      <c r="H387" s="46" t="s">
        <v>332</v>
      </c>
      <c r="I387" s="46">
        <v>1</v>
      </c>
      <c r="J387" s="46">
        <v>3</v>
      </c>
      <c r="K387" s="49" t="s">
        <v>351</v>
      </c>
      <c r="L387" s="49" t="s">
        <v>40</v>
      </c>
      <c r="M387" s="49" t="s">
        <v>35</v>
      </c>
      <c r="N387" s="49" t="s">
        <v>512</v>
      </c>
      <c r="O387" s="49"/>
      <c r="P387" s="49" t="s">
        <v>31</v>
      </c>
      <c r="Q387" s="49" t="s">
        <v>29</v>
      </c>
      <c r="R387" s="49">
        <v>1</v>
      </c>
      <c r="S387" s="50">
        <f t="shared" si="193"/>
        <v>33.333333333333329</v>
      </c>
      <c r="T387" s="49">
        <v>0</v>
      </c>
      <c r="U387" s="50">
        <f t="shared" si="194"/>
        <v>0</v>
      </c>
      <c r="V387" s="45"/>
      <c r="W387" s="49">
        <v>0</v>
      </c>
      <c r="X387" s="50">
        <f t="shared" si="195"/>
        <v>0</v>
      </c>
      <c r="Y387" s="51" t="str">
        <f t="shared" si="196"/>
        <v>No</v>
      </c>
      <c r="Z387" s="49" t="s">
        <v>35</v>
      </c>
      <c r="AA387" s="49" t="s">
        <v>23</v>
      </c>
      <c r="AB387" s="49" t="s">
        <v>23</v>
      </c>
      <c r="AC387" s="46" t="s">
        <v>267</v>
      </c>
      <c r="AD387" s="46" t="s">
        <v>350</v>
      </c>
      <c r="AE387" s="46" t="s">
        <v>966</v>
      </c>
      <c r="AF387" s="46" t="s">
        <v>29</v>
      </c>
      <c r="AG387" s="103"/>
      <c r="AH387" s="52">
        <v>24349</v>
      </c>
      <c r="AI387" s="52">
        <v>13369</v>
      </c>
      <c r="AJ387" s="102">
        <v>47.55</v>
      </c>
      <c r="AK387" s="104">
        <v>95.1</v>
      </c>
      <c r="AL387" s="102">
        <v>56.1</v>
      </c>
      <c r="AM387" s="102"/>
      <c r="AN387" s="53">
        <f t="shared" si="197"/>
        <v>112.2</v>
      </c>
      <c r="AO387" s="53">
        <v>40.450000000000003</v>
      </c>
      <c r="AP387" s="102"/>
      <c r="AQ387" s="102"/>
      <c r="AR387" s="50"/>
      <c r="AS387" s="50"/>
      <c r="AT387" s="102"/>
      <c r="AU387" s="102"/>
      <c r="AV387" s="102"/>
      <c r="AW387" s="102"/>
      <c r="AX387" s="50"/>
      <c r="AY387" s="50"/>
      <c r="AZ387" s="102"/>
      <c r="BA387" s="102"/>
      <c r="BB387" s="102"/>
      <c r="BC387" s="102"/>
      <c r="BD387" s="50"/>
      <c r="BE387" s="50"/>
      <c r="BF387" s="50"/>
      <c r="BG387" s="50"/>
      <c r="BH387" s="102"/>
      <c r="BI387" s="102"/>
      <c r="BJ387" s="102"/>
      <c r="BK387" s="102"/>
      <c r="BL387" s="102"/>
      <c r="BM387" s="102"/>
      <c r="BN387" s="102">
        <v>47.55</v>
      </c>
      <c r="BO387" s="50">
        <f>AI387-AH387</f>
        <v>-10980</v>
      </c>
      <c r="BP387" s="50">
        <f>BO387/AH387 *100</f>
        <v>-45.094254384163627</v>
      </c>
      <c r="BQ387" s="50" t="str">
        <f>IF(AND((AH387*(BN387/100))&gt;(AI387*(AL387/100)),  AJ387 &lt;&gt;  BN387), "yes", "no")</f>
        <v>no</v>
      </c>
      <c r="BR387" s="102"/>
      <c r="BS387" s="54" t="s">
        <v>29</v>
      </c>
      <c r="BT387" s="45" t="str">
        <f t="shared" si="189"/>
        <v>Yes</v>
      </c>
      <c r="BU387" s="45" t="str">
        <f t="shared" si="190"/>
        <v>Yes</v>
      </c>
      <c r="BV387" s="45" t="str">
        <f t="shared" si="191"/>
        <v>No</v>
      </c>
      <c r="BW387" s="55">
        <v>89.089574850866398</v>
      </c>
      <c r="BX387" s="55"/>
      <c r="BY387" s="55">
        <v>90.319574850866388</v>
      </c>
      <c r="BZ387" s="55"/>
      <c r="CA387" s="45">
        <v>2004</v>
      </c>
      <c r="CB387" s="55">
        <f t="shared" si="199"/>
        <v>25.464761904761907</v>
      </c>
      <c r="CC387" s="46" t="s">
        <v>348</v>
      </c>
      <c r="CD387" s="46" t="s">
        <v>267</v>
      </c>
      <c r="CE387" s="46" t="s">
        <v>783</v>
      </c>
      <c r="CF387" s="46">
        <v>2</v>
      </c>
      <c r="CG387" s="46" t="str">
        <f t="shared" si="198"/>
        <v>No</v>
      </c>
      <c r="CH387" s="46" t="s">
        <v>35</v>
      </c>
      <c r="CI387" s="56">
        <v>0</v>
      </c>
      <c r="CJ387" s="46">
        <v>20</v>
      </c>
      <c r="CK387" s="46" t="s">
        <v>23</v>
      </c>
      <c r="CL387" s="49" t="s">
        <v>29</v>
      </c>
      <c r="CM387" s="50">
        <v>0</v>
      </c>
      <c r="CN387" s="50"/>
      <c r="CO387" s="50"/>
      <c r="CP387" s="46" t="s">
        <v>35</v>
      </c>
      <c r="CQ387" s="46" t="s">
        <v>24</v>
      </c>
      <c r="CR387" s="46">
        <v>7</v>
      </c>
      <c r="CS387" s="46" t="s">
        <v>854</v>
      </c>
      <c r="CT387" s="46" t="s">
        <v>53</v>
      </c>
      <c r="CU387" s="46" t="s">
        <v>74</v>
      </c>
      <c r="CV387" s="46">
        <v>2</v>
      </c>
      <c r="CW387" s="46" t="s">
        <v>23</v>
      </c>
      <c r="CX387" s="49" t="s">
        <v>743</v>
      </c>
      <c r="CY387" s="49" t="s">
        <v>36</v>
      </c>
      <c r="CZ387" s="49">
        <v>0</v>
      </c>
      <c r="DA387" s="49">
        <v>1</v>
      </c>
      <c r="DB387" s="64">
        <v>52500</v>
      </c>
      <c r="DC387" s="58">
        <v>52.23</v>
      </c>
      <c r="DD387" s="58">
        <v>10.059999999999999</v>
      </c>
      <c r="DE387" s="58">
        <v>15.07</v>
      </c>
      <c r="DF387" s="58">
        <v>17.89</v>
      </c>
      <c r="DG387" s="58">
        <v>4.7499999999999876</v>
      </c>
      <c r="DH387" s="58">
        <v>47.77</v>
      </c>
      <c r="DI387" s="45" t="s">
        <v>29</v>
      </c>
      <c r="DJ387" s="59" t="str">
        <f t="shared" si="188"/>
        <v>N/A</v>
      </c>
      <c r="DK387" s="65">
        <v>8825</v>
      </c>
      <c r="DL387" s="58">
        <v>52.89</v>
      </c>
      <c r="DM387" s="58">
        <v>5.64</v>
      </c>
      <c r="DN387" s="58">
        <v>13</v>
      </c>
      <c r="DO387" s="58">
        <v>47.11</v>
      </c>
      <c r="DP387" s="66">
        <v>51.8</v>
      </c>
      <c r="DQ387" s="67">
        <v>70224.81</v>
      </c>
      <c r="DR387" s="53">
        <v>6.4</v>
      </c>
      <c r="DS387" s="58">
        <v>74.5</v>
      </c>
      <c r="DT387" s="53">
        <v>60.6</v>
      </c>
      <c r="DU387" s="55">
        <v>2.57</v>
      </c>
      <c r="DV387" s="50">
        <v>37.700000000000003</v>
      </c>
      <c r="DW387" s="53">
        <v>80.900000000000006</v>
      </c>
      <c r="DX387" s="53">
        <v>76.013800000000003</v>
      </c>
      <c r="DY387" s="53">
        <v>38.331400000000002</v>
      </c>
      <c r="DZ387" s="63"/>
    </row>
    <row r="388" spans="1:130" s="5" customFormat="1" ht="14.25" hidden="1" customHeight="1">
      <c r="A388" s="45">
        <v>1367</v>
      </c>
      <c r="B388" s="46" t="s">
        <v>331</v>
      </c>
      <c r="C388" s="47">
        <v>2004</v>
      </c>
      <c r="D388" s="47" t="s">
        <v>100</v>
      </c>
      <c r="E388" s="71" t="s">
        <v>101</v>
      </c>
      <c r="F388" s="46">
        <v>4</v>
      </c>
      <c r="G388" s="48">
        <v>15000</v>
      </c>
      <c r="H388" s="46" t="s">
        <v>332</v>
      </c>
      <c r="I388" s="46">
        <v>1</v>
      </c>
      <c r="J388" s="46">
        <v>3</v>
      </c>
      <c r="K388" s="49" t="s">
        <v>346</v>
      </c>
      <c r="L388" s="49" t="s">
        <v>30</v>
      </c>
      <c r="M388" s="49" t="s">
        <v>29</v>
      </c>
      <c r="N388" s="49" t="s">
        <v>513</v>
      </c>
      <c r="O388" s="49"/>
      <c r="P388" s="49" t="s">
        <v>31</v>
      </c>
      <c r="Q388" s="49" t="s">
        <v>29</v>
      </c>
      <c r="R388" s="49">
        <v>1</v>
      </c>
      <c r="S388" s="50">
        <f t="shared" si="193"/>
        <v>33.333333333333329</v>
      </c>
      <c r="T388" s="49">
        <v>0</v>
      </c>
      <c r="U388" s="50">
        <f t="shared" si="194"/>
        <v>0</v>
      </c>
      <c r="V388" s="45"/>
      <c r="W388" s="49">
        <v>0</v>
      </c>
      <c r="X388" s="50">
        <f t="shared" si="195"/>
        <v>0</v>
      </c>
      <c r="Y388" s="51" t="str">
        <f t="shared" si="196"/>
        <v>No</v>
      </c>
      <c r="Z388" s="49" t="s">
        <v>29</v>
      </c>
      <c r="AA388" s="49" t="s">
        <v>208</v>
      </c>
      <c r="AB388" s="49" t="s">
        <v>29</v>
      </c>
      <c r="AC388" s="46" t="s">
        <v>26</v>
      </c>
      <c r="AD388" s="46" t="s">
        <v>27</v>
      </c>
      <c r="AE388" s="46" t="s">
        <v>89</v>
      </c>
      <c r="AF388" s="46" t="s">
        <v>29</v>
      </c>
      <c r="AG388" s="103"/>
      <c r="AH388" s="52">
        <v>24781</v>
      </c>
      <c r="AI388" s="52">
        <v>24781</v>
      </c>
      <c r="AJ388" s="102">
        <v>73.040000000000006</v>
      </c>
      <c r="AK388" s="104">
        <v>146.08000000000001</v>
      </c>
      <c r="AL388" s="102">
        <v>73.040000000000006</v>
      </c>
      <c r="AM388" s="102"/>
      <c r="AN388" s="53">
        <f t="shared" si="197"/>
        <v>146.08000000000001</v>
      </c>
      <c r="AO388" s="53">
        <v>14.84</v>
      </c>
      <c r="AP388" s="102"/>
      <c r="AQ388" s="102"/>
      <c r="AR388" s="102"/>
      <c r="AS388" s="102"/>
      <c r="AT388" s="102"/>
      <c r="AU388" s="102"/>
      <c r="AV388" s="102"/>
      <c r="AW388" s="102"/>
      <c r="AX388" s="102"/>
      <c r="AY388" s="102"/>
      <c r="AZ388" s="102"/>
      <c r="BA388" s="102"/>
      <c r="BB388" s="102"/>
      <c r="BC388" s="102"/>
      <c r="BD388" s="102"/>
      <c r="BE388" s="102"/>
      <c r="BF388" s="102"/>
      <c r="BG388" s="102"/>
      <c r="BH388" s="102"/>
      <c r="BI388" s="102"/>
      <c r="BJ388" s="102"/>
      <c r="BK388" s="102"/>
      <c r="BL388" s="102"/>
      <c r="BM388" s="102"/>
      <c r="BN388" s="102"/>
      <c r="BO388" s="102"/>
      <c r="BP388" s="102"/>
      <c r="BQ388" s="102"/>
      <c r="BR388" s="102"/>
      <c r="BS388" s="54" t="s">
        <v>29</v>
      </c>
      <c r="BT388" s="45" t="str">
        <f t="shared" si="189"/>
        <v>No</v>
      </c>
      <c r="BU388" s="45" t="str">
        <f t="shared" si="190"/>
        <v>No</v>
      </c>
      <c r="BV388" s="45" t="str">
        <f t="shared" si="191"/>
        <v>No</v>
      </c>
      <c r="BW388" s="55">
        <v>89.089574850866398</v>
      </c>
      <c r="BX388" s="55"/>
      <c r="BY388" s="55">
        <v>90.319574850866388</v>
      </c>
      <c r="BZ388" s="55"/>
      <c r="CA388" s="45">
        <v>2004</v>
      </c>
      <c r="CB388" s="55">
        <f t="shared" si="199"/>
        <v>47.201904761904764</v>
      </c>
      <c r="CC388" s="46" t="s">
        <v>348</v>
      </c>
      <c r="CD388" s="46" t="s">
        <v>267</v>
      </c>
      <c r="CE388" s="46" t="s">
        <v>783</v>
      </c>
      <c r="CF388" s="46">
        <v>2</v>
      </c>
      <c r="CG388" s="46" t="str">
        <f t="shared" si="198"/>
        <v>No</v>
      </c>
      <c r="CH388" s="46" t="s">
        <v>35</v>
      </c>
      <c r="CI388" s="56">
        <v>0</v>
      </c>
      <c r="CJ388" s="46">
        <v>20</v>
      </c>
      <c r="CK388" s="46" t="s">
        <v>23</v>
      </c>
      <c r="CL388" s="49" t="s">
        <v>29</v>
      </c>
      <c r="CM388" s="50">
        <v>0</v>
      </c>
      <c r="CN388" s="50"/>
      <c r="CO388" s="50"/>
      <c r="CP388" s="46" t="s">
        <v>35</v>
      </c>
      <c r="CQ388" s="46" t="s">
        <v>24</v>
      </c>
      <c r="CR388" s="46">
        <v>7</v>
      </c>
      <c r="CS388" s="46" t="s">
        <v>854</v>
      </c>
      <c r="CT388" s="46" t="s">
        <v>53</v>
      </c>
      <c r="CU388" s="46" t="s">
        <v>74</v>
      </c>
      <c r="CV388" s="46">
        <v>2</v>
      </c>
      <c r="CW388" s="46" t="s">
        <v>23</v>
      </c>
      <c r="CX388" s="49" t="s">
        <v>743</v>
      </c>
      <c r="CY388" s="49" t="s">
        <v>36</v>
      </c>
      <c r="CZ388" s="49">
        <v>0</v>
      </c>
      <c r="DA388" s="49">
        <v>1</v>
      </c>
      <c r="DB388" s="64">
        <v>52500</v>
      </c>
      <c r="DC388" s="58">
        <v>52.23</v>
      </c>
      <c r="DD388" s="58">
        <v>10.059999999999999</v>
      </c>
      <c r="DE388" s="58">
        <v>15.07</v>
      </c>
      <c r="DF388" s="58">
        <v>17.89</v>
      </c>
      <c r="DG388" s="58">
        <v>4.7499999999999876</v>
      </c>
      <c r="DH388" s="58">
        <v>47.77</v>
      </c>
      <c r="DI388" s="45" t="s">
        <v>29</v>
      </c>
      <c r="DJ388" s="59" t="str">
        <f t="shared" si="188"/>
        <v>N/A</v>
      </c>
      <c r="DK388" s="65">
        <v>7656</v>
      </c>
      <c r="DL388" s="58">
        <v>42.77</v>
      </c>
      <c r="DM388" s="58">
        <v>8.4599999999999991</v>
      </c>
      <c r="DN388" s="58">
        <v>19.72</v>
      </c>
      <c r="DO388" s="58">
        <v>57.230000000000004</v>
      </c>
      <c r="DP388" s="66">
        <v>51.8</v>
      </c>
      <c r="DQ388" s="67">
        <v>70224.81</v>
      </c>
      <c r="DR388" s="53">
        <v>6.4</v>
      </c>
      <c r="DS388" s="58">
        <v>74.5</v>
      </c>
      <c r="DT388" s="53">
        <v>60.6</v>
      </c>
      <c r="DU388" s="55">
        <v>2.57</v>
      </c>
      <c r="DV388" s="102">
        <v>37.700000000000003</v>
      </c>
      <c r="DW388" s="53">
        <v>80.900000000000006</v>
      </c>
      <c r="DX388" s="53">
        <v>76.013800000000003</v>
      </c>
      <c r="DY388" s="53">
        <v>38.331400000000002</v>
      </c>
      <c r="DZ388" s="63"/>
    </row>
    <row r="389" spans="1:130" s="5" customFormat="1" ht="14.25" hidden="1" customHeight="1">
      <c r="A389" s="45">
        <v>1362</v>
      </c>
      <c r="B389" s="46" t="s">
        <v>331</v>
      </c>
      <c r="C389" s="47">
        <v>2006</v>
      </c>
      <c r="D389" s="47" t="s">
        <v>76</v>
      </c>
      <c r="E389" s="46" t="s">
        <v>77</v>
      </c>
      <c r="F389" s="46">
        <v>4</v>
      </c>
      <c r="G389" s="48">
        <v>15000</v>
      </c>
      <c r="H389" s="46" t="s">
        <v>332</v>
      </c>
      <c r="I389" s="46">
        <v>1</v>
      </c>
      <c r="J389" s="46">
        <v>2</v>
      </c>
      <c r="K389" s="49" t="s">
        <v>342</v>
      </c>
      <c r="L389" s="49" t="s">
        <v>30</v>
      </c>
      <c r="M389" s="49" t="s">
        <v>29</v>
      </c>
      <c r="N389" s="49" t="s">
        <v>512</v>
      </c>
      <c r="O389" s="49"/>
      <c r="P389" s="49" t="s">
        <v>31</v>
      </c>
      <c r="Q389" s="49" t="s">
        <v>29</v>
      </c>
      <c r="R389" s="49">
        <v>0</v>
      </c>
      <c r="S389" s="50">
        <f t="shared" si="193"/>
        <v>0</v>
      </c>
      <c r="T389" s="49">
        <v>0</v>
      </c>
      <c r="U389" s="50">
        <f t="shared" si="194"/>
        <v>0</v>
      </c>
      <c r="V389" s="45"/>
      <c r="W389" s="49">
        <v>0</v>
      </c>
      <c r="X389" s="50">
        <f t="shared" si="195"/>
        <v>0</v>
      </c>
      <c r="Y389" s="51" t="str">
        <f t="shared" si="196"/>
        <v>No</v>
      </c>
      <c r="Z389" s="49" t="s">
        <v>35</v>
      </c>
      <c r="AA389" s="49" t="s">
        <v>23</v>
      </c>
      <c r="AB389" s="49" t="s">
        <v>23</v>
      </c>
      <c r="AC389" s="46" t="s">
        <v>151</v>
      </c>
      <c r="AD389" s="46" t="s">
        <v>152</v>
      </c>
      <c r="AE389" s="46" t="s">
        <v>73</v>
      </c>
      <c r="AF389" s="46" t="s">
        <v>29</v>
      </c>
      <c r="AG389" s="103">
        <v>14572</v>
      </c>
      <c r="AH389" s="52">
        <v>11581</v>
      </c>
      <c r="AI389" s="52">
        <v>11581</v>
      </c>
      <c r="AJ389" s="102">
        <v>63.6</v>
      </c>
      <c r="AK389" s="104">
        <v>127.2</v>
      </c>
      <c r="AL389" s="102">
        <v>63.6</v>
      </c>
      <c r="AM389" s="102"/>
      <c r="AN389" s="53">
        <f t="shared" si="197"/>
        <v>127.2</v>
      </c>
      <c r="AO389" s="53">
        <v>36.04</v>
      </c>
      <c r="AP389" s="102">
        <v>2991</v>
      </c>
      <c r="AQ389" s="102">
        <v>20.525665660170191</v>
      </c>
      <c r="AR389" s="102"/>
      <c r="AS389" s="102"/>
      <c r="AT389" s="102"/>
      <c r="AU389" s="102"/>
      <c r="AV389" s="102"/>
      <c r="AW389" s="102"/>
      <c r="AX389" s="102"/>
      <c r="AY389" s="102"/>
      <c r="AZ389" s="102"/>
      <c r="BA389" s="102"/>
      <c r="BB389" s="102"/>
      <c r="BC389" s="102"/>
      <c r="BD389" s="102"/>
      <c r="BE389" s="102"/>
      <c r="BF389" s="102"/>
      <c r="BG389" s="102"/>
      <c r="BH389" s="102"/>
      <c r="BI389" s="102"/>
      <c r="BJ389" s="102"/>
      <c r="BK389" s="102"/>
      <c r="BL389" s="102"/>
      <c r="BM389" s="102"/>
      <c r="BN389" s="102"/>
      <c r="BO389" s="102"/>
      <c r="BP389" s="102"/>
      <c r="BQ389" s="102"/>
      <c r="BR389" s="102"/>
      <c r="BS389" s="54" t="s">
        <v>29</v>
      </c>
      <c r="BT389" s="45" t="str">
        <f t="shared" si="189"/>
        <v>Yes</v>
      </c>
      <c r="BU389" s="45" t="str">
        <f t="shared" si="190"/>
        <v>No</v>
      </c>
      <c r="BV389" s="45" t="str">
        <f t="shared" si="191"/>
        <v>No</v>
      </c>
      <c r="BW389" s="55">
        <v>89.089574850866398</v>
      </c>
      <c r="BX389" s="55"/>
      <c r="BY389" s="55">
        <v>90.319574850866388</v>
      </c>
      <c r="BZ389" s="55"/>
      <c r="CA389" s="45">
        <v>2004</v>
      </c>
      <c r="CB389" s="55">
        <f t="shared" si="199"/>
        <v>23.591362803014871</v>
      </c>
      <c r="CC389" s="46" t="s">
        <v>489</v>
      </c>
      <c r="CD389" s="46" t="s">
        <v>151</v>
      </c>
      <c r="CE389" s="46" t="s">
        <v>783</v>
      </c>
      <c r="CF389" s="46">
        <v>2</v>
      </c>
      <c r="CG389" s="46" t="str">
        <f t="shared" si="198"/>
        <v>Yes</v>
      </c>
      <c r="CH389" s="46" t="s">
        <v>35</v>
      </c>
      <c r="CI389" s="56">
        <v>0</v>
      </c>
      <c r="CJ389" s="46">
        <v>20</v>
      </c>
      <c r="CK389" s="46" t="s">
        <v>23</v>
      </c>
      <c r="CL389" s="49" t="s">
        <v>29</v>
      </c>
      <c r="CM389" s="50">
        <v>0</v>
      </c>
      <c r="CN389" s="50"/>
      <c r="CO389" s="50"/>
      <c r="CP389" s="46" t="s">
        <v>35</v>
      </c>
      <c r="CQ389" s="46" t="s">
        <v>24</v>
      </c>
      <c r="CR389" s="46">
        <v>7</v>
      </c>
      <c r="CS389" s="46" t="s">
        <v>854</v>
      </c>
      <c r="CT389" s="46" t="s">
        <v>53</v>
      </c>
      <c r="CU389" s="46" t="s">
        <v>74</v>
      </c>
      <c r="CV389" s="46">
        <v>1</v>
      </c>
      <c r="CW389" s="46" t="s">
        <v>23</v>
      </c>
      <c r="CX389" s="49" t="s">
        <v>744</v>
      </c>
      <c r="CY389" s="49" t="s">
        <v>36</v>
      </c>
      <c r="CZ389" s="49">
        <v>0</v>
      </c>
      <c r="DA389" s="49">
        <v>1</v>
      </c>
      <c r="DB389" s="64">
        <v>49090</v>
      </c>
      <c r="DC389" s="58">
        <v>41.5</v>
      </c>
      <c r="DD389" s="58">
        <v>14.149999999999999</v>
      </c>
      <c r="DE389" s="58">
        <v>15.590000000000002</v>
      </c>
      <c r="DF389" s="58">
        <v>25.31</v>
      </c>
      <c r="DG389" s="58">
        <v>3.4499999999999975</v>
      </c>
      <c r="DH389" s="58">
        <v>58.5</v>
      </c>
      <c r="DI389" s="45" t="s">
        <v>35</v>
      </c>
      <c r="DJ389" s="59" t="str">
        <f t="shared" si="188"/>
        <v>No single majority group</v>
      </c>
      <c r="DK389" s="65">
        <v>7968</v>
      </c>
      <c r="DL389" s="58">
        <v>46.33</v>
      </c>
      <c r="DM389" s="58">
        <v>21.92</v>
      </c>
      <c r="DN389" s="58">
        <v>14.21</v>
      </c>
      <c r="DO389" s="58">
        <v>53.669999999999995</v>
      </c>
      <c r="DP389" s="66">
        <v>52.3</v>
      </c>
      <c r="DQ389" s="67">
        <v>68221.179999999993</v>
      </c>
      <c r="DR389" s="53">
        <v>7.4</v>
      </c>
      <c r="DS389" s="58">
        <v>73.8</v>
      </c>
      <c r="DT389" s="53">
        <v>58.4</v>
      </c>
      <c r="DU389" s="55">
        <v>2.83</v>
      </c>
      <c r="DV389" s="102">
        <v>37.6</v>
      </c>
      <c r="DW389" s="53">
        <v>83.3</v>
      </c>
      <c r="DX389" s="53">
        <v>90.62</v>
      </c>
      <c r="DY389" s="53">
        <v>49.201700000000002</v>
      </c>
      <c r="DZ389" s="63"/>
    </row>
    <row r="390" spans="1:130" s="5" customFormat="1" ht="14.25" hidden="1" customHeight="1">
      <c r="A390" s="45">
        <v>1363</v>
      </c>
      <c r="B390" s="46" t="s">
        <v>331</v>
      </c>
      <c r="C390" s="47">
        <v>2006</v>
      </c>
      <c r="D390" s="47" t="s">
        <v>94</v>
      </c>
      <c r="E390" s="46" t="s">
        <v>95</v>
      </c>
      <c r="F390" s="46">
        <v>4</v>
      </c>
      <c r="G390" s="48">
        <v>15000</v>
      </c>
      <c r="H390" s="46" t="s">
        <v>332</v>
      </c>
      <c r="I390" s="46">
        <v>1</v>
      </c>
      <c r="J390" s="46">
        <v>3</v>
      </c>
      <c r="K390" s="49" t="s">
        <v>343</v>
      </c>
      <c r="L390" s="49" t="s">
        <v>40</v>
      </c>
      <c r="M390" s="49" t="s">
        <v>35</v>
      </c>
      <c r="N390" s="49" t="s">
        <v>512</v>
      </c>
      <c r="O390" s="49"/>
      <c r="P390" s="49" t="s">
        <v>31</v>
      </c>
      <c r="Q390" s="49" t="s">
        <v>29</v>
      </c>
      <c r="R390" s="49">
        <v>1</v>
      </c>
      <c r="S390" s="50">
        <f t="shared" si="193"/>
        <v>33.333333333333329</v>
      </c>
      <c r="T390" s="49">
        <v>0</v>
      </c>
      <c r="U390" s="50">
        <f t="shared" si="194"/>
        <v>0</v>
      </c>
      <c r="V390" s="45"/>
      <c r="W390" s="49">
        <v>0</v>
      </c>
      <c r="X390" s="50">
        <f t="shared" si="195"/>
        <v>0</v>
      </c>
      <c r="Y390" s="51" t="str">
        <f t="shared" si="196"/>
        <v>No</v>
      </c>
      <c r="Z390" s="49" t="s">
        <v>35</v>
      </c>
      <c r="AA390" s="49" t="s">
        <v>23</v>
      </c>
      <c r="AB390" s="49" t="s">
        <v>23</v>
      </c>
      <c r="AC390" s="46" t="s">
        <v>26</v>
      </c>
      <c r="AD390" s="46" t="s">
        <v>27</v>
      </c>
      <c r="AE390" s="46" t="s">
        <v>73</v>
      </c>
      <c r="AF390" s="46" t="s">
        <v>29</v>
      </c>
      <c r="AG390" s="103">
        <v>22626</v>
      </c>
      <c r="AH390" s="52">
        <v>13045</v>
      </c>
      <c r="AI390" s="52">
        <v>18919</v>
      </c>
      <c r="AJ390" s="102">
        <v>41.39</v>
      </c>
      <c r="AK390" s="104">
        <v>82.78</v>
      </c>
      <c r="AL390" s="102">
        <v>54.63</v>
      </c>
      <c r="AM390" s="102"/>
      <c r="AN390" s="53">
        <f t="shared" si="197"/>
        <v>109.26</v>
      </c>
      <c r="AO390" s="53">
        <v>39.83</v>
      </c>
      <c r="AP390" s="102">
        <v>3707</v>
      </c>
      <c r="AQ390" s="102">
        <v>16.383806240608152</v>
      </c>
      <c r="AR390" s="102"/>
      <c r="AS390" s="102"/>
      <c r="AT390" s="102"/>
      <c r="AU390" s="102"/>
      <c r="AV390" s="102"/>
      <c r="AW390" s="102"/>
      <c r="AX390" s="102"/>
      <c r="AY390" s="102"/>
      <c r="AZ390" s="102"/>
      <c r="BA390" s="102"/>
      <c r="BB390" s="102"/>
      <c r="BC390" s="102"/>
      <c r="BD390" s="102"/>
      <c r="BE390" s="102"/>
      <c r="BF390" s="102"/>
      <c r="BG390" s="102"/>
      <c r="BH390" s="102"/>
      <c r="BI390" s="102"/>
      <c r="BJ390" s="102"/>
      <c r="BK390" s="102"/>
      <c r="BL390" s="102"/>
      <c r="BM390" s="102"/>
      <c r="BN390" s="102"/>
      <c r="BO390" s="102"/>
      <c r="BP390" s="102"/>
      <c r="BQ390" s="102"/>
      <c r="BR390" s="102"/>
      <c r="BS390" s="54" t="s">
        <v>29</v>
      </c>
      <c r="BT390" s="45" t="str">
        <f t="shared" si="189"/>
        <v>Yes</v>
      </c>
      <c r="BU390" s="45" t="str">
        <f t="shared" si="190"/>
        <v>Yes</v>
      </c>
      <c r="BV390" s="45" t="str">
        <f t="shared" si="191"/>
        <v>Yes</v>
      </c>
      <c r="BW390" s="55">
        <v>89.089574850866398</v>
      </c>
      <c r="BX390" s="55"/>
      <c r="BY390" s="55">
        <v>90.319574850866388</v>
      </c>
      <c r="BZ390" s="55"/>
      <c r="CA390" s="45">
        <v>2004</v>
      </c>
      <c r="CB390" s="55">
        <f t="shared" si="199"/>
        <v>38.539417396618461</v>
      </c>
      <c r="CC390" s="46" t="s">
        <v>489</v>
      </c>
      <c r="CD390" s="46" t="s">
        <v>151</v>
      </c>
      <c r="CE390" s="46" t="s">
        <v>783</v>
      </c>
      <c r="CF390" s="46">
        <v>2</v>
      </c>
      <c r="CG390" s="46" t="str">
        <f t="shared" si="198"/>
        <v>Yes</v>
      </c>
      <c r="CH390" s="46" t="s">
        <v>35</v>
      </c>
      <c r="CI390" s="56">
        <v>0</v>
      </c>
      <c r="CJ390" s="46">
        <v>20</v>
      </c>
      <c r="CK390" s="46" t="s">
        <v>23</v>
      </c>
      <c r="CL390" s="49" t="s">
        <v>29</v>
      </c>
      <c r="CM390" s="50">
        <v>0</v>
      </c>
      <c r="CN390" s="50"/>
      <c r="CO390" s="50"/>
      <c r="CP390" s="46" t="s">
        <v>35</v>
      </c>
      <c r="CQ390" s="46" t="s">
        <v>24</v>
      </c>
      <c r="CR390" s="46">
        <v>7</v>
      </c>
      <c r="CS390" s="46" t="s">
        <v>854</v>
      </c>
      <c r="CT390" s="46" t="s">
        <v>53</v>
      </c>
      <c r="CU390" s="46" t="s">
        <v>74</v>
      </c>
      <c r="CV390" s="46">
        <v>1</v>
      </c>
      <c r="CW390" s="46" t="s">
        <v>23</v>
      </c>
      <c r="CX390" s="49" t="s">
        <v>744</v>
      </c>
      <c r="CY390" s="49" t="s">
        <v>36</v>
      </c>
      <c r="CZ390" s="49">
        <v>0</v>
      </c>
      <c r="DA390" s="49">
        <v>1</v>
      </c>
      <c r="DB390" s="64">
        <v>49090</v>
      </c>
      <c r="DC390" s="58">
        <v>41.5</v>
      </c>
      <c r="DD390" s="58">
        <v>14.149999999999999</v>
      </c>
      <c r="DE390" s="58">
        <v>15.590000000000002</v>
      </c>
      <c r="DF390" s="58">
        <v>25.31</v>
      </c>
      <c r="DG390" s="58">
        <v>3.4499999999999975</v>
      </c>
      <c r="DH390" s="58">
        <v>58.5</v>
      </c>
      <c r="DI390" s="45" t="s">
        <v>35</v>
      </c>
      <c r="DJ390" s="59" t="str">
        <f t="shared" ref="DJ390:DJ406" si="200">IF(DH390&lt;50,"N/A",IF(DD390&gt;50,"African American",IF(DE390&gt;50,"Latino",IF(DF390&gt;50,"Asian","No single majority group"))))</f>
        <v>No single majority group</v>
      </c>
      <c r="DK390" s="65">
        <v>10931</v>
      </c>
      <c r="DL390" s="58">
        <v>35.46</v>
      </c>
      <c r="DM390" s="58">
        <v>10.130000000000001</v>
      </c>
      <c r="DN390" s="58">
        <v>18.29</v>
      </c>
      <c r="DO390" s="58">
        <v>64.539999999999992</v>
      </c>
      <c r="DP390" s="66">
        <v>52.3</v>
      </c>
      <c r="DQ390" s="67">
        <v>68221.179999999993</v>
      </c>
      <c r="DR390" s="53">
        <v>7.4</v>
      </c>
      <c r="DS390" s="58">
        <v>73.8</v>
      </c>
      <c r="DT390" s="53">
        <v>58.4</v>
      </c>
      <c r="DU390" s="55">
        <v>2.83</v>
      </c>
      <c r="DV390" s="102">
        <v>37.6</v>
      </c>
      <c r="DW390" s="53">
        <v>83.3</v>
      </c>
      <c r="DX390" s="53">
        <v>90.62</v>
      </c>
      <c r="DY390" s="53">
        <v>49.201700000000002</v>
      </c>
      <c r="DZ390" s="63"/>
    </row>
    <row r="391" spans="1:130" s="5" customFormat="1" ht="14.25" hidden="1" customHeight="1">
      <c r="A391" s="45">
        <v>1364</v>
      </c>
      <c r="B391" s="46" t="s">
        <v>331</v>
      </c>
      <c r="C391" s="47">
        <v>2006</v>
      </c>
      <c r="D391" s="47" t="s">
        <v>97</v>
      </c>
      <c r="E391" s="46" t="s">
        <v>98</v>
      </c>
      <c r="F391" s="46">
        <v>4</v>
      </c>
      <c r="G391" s="48">
        <v>15000</v>
      </c>
      <c r="H391" s="46" t="s">
        <v>332</v>
      </c>
      <c r="I391" s="46">
        <v>1</v>
      </c>
      <c r="J391" s="46">
        <v>1</v>
      </c>
      <c r="K391" s="49" t="s">
        <v>347</v>
      </c>
      <c r="L391" s="49" t="s">
        <v>30</v>
      </c>
      <c r="M391" s="49" t="s">
        <v>29</v>
      </c>
      <c r="N391" s="49" t="s">
        <v>513</v>
      </c>
      <c r="O391" s="49"/>
      <c r="P391" s="49" t="s">
        <v>31</v>
      </c>
      <c r="Q391" s="49" t="s">
        <v>29</v>
      </c>
      <c r="R391" s="49">
        <v>0</v>
      </c>
      <c r="S391" s="50">
        <f t="shared" si="193"/>
        <v>0</v>
      </c>
      <c r="T391" s="49">
        <v>0</v>
      </c>
      <c r="U391" s="50">
        <f t="shared" si="194"/>
        <v>0</v>
      </c>
      <c r="V391" s="45"/>
      <c r="W391" s="49">
        <v>0</v>
      </c>
      <c r="X391" s="50">
        <f t="shared" si="195"/>
        <v>0</v>
      </c>
      <c r="Y391" s="51" t="str">
        <f t="shared" si="196"/>
        <v>No</v>
      </c>
      <c r="Z391" s="49" t="s">
        <v>29</v>
      </c>
      <c r="AA391" s="49" t="s">
        <v>29</v>
      </c>
      <c r="AB391" s="49" t="s">
        <v>29</v>
      </c>
      <c r="AC391" s="46" t="s">
        <v>151</v>
      </c>
      <c r="AD391" s="46" t="s">
        <v>152</v>
      </c>
      <c r="AE391" s="46" t="s">
        <v>73</v>
      </c>
      <c r="AF391" s="46" t="s">
        <v>29</v>
      </c>
      <c r="AG391" s="103">
        <v>14572</v>
      </c>
      <c r="AH391" s="52">
        <v>11059</v>
      </c>
      <c r="AI391" s="52">
        <v>11059</v>
      </c>
      <c r="AJ391" s="102">
        <v>99.09</v>
      </c>
      <c r="AK391" s="104">
        <v>198.18</v>
      </c>
      <c r="AL391" s="102">
        <v>99.09</v>
      </c>
      <c r="AM391" s="102"/>
      <c r="AN391" s="53">
        <f t="shared" si="197"/>
        <v>198.18</v>
      </c>
      <c r="AO391" s="53" t="s">
        <v>23</v>
      </c>
      <c r="AP391" s="102">
        <v>3513</v>
      </c>
      <c r="AQ391" s="102">
        <v>24.10787812242657</v>
      </c>
      <c r="AR391" s="102"/>
      <c r="AS391" s="102"/>
      <c r="AT391" s="102"/>
      <c r="AU391" s="102"/>
      <c r="AV391" s="102"/>
      <c r="AW391" s="102"/>
      <c r="AX391" s="102"/>
      <c r="AY391" s="102"/>
      <c r="AZ391" s="102"/>
      <c r="BA391" s="102"/>
      <c r="BB391" s="102"/>
      <c r="BC391" s="102"/>
      <c r="BD391" s="102"/>
      <c r="BE391" s="102"/>
      <c r="BF391" s="102"/>
      <c r="BG391" s="102"/>
      <c r="BH391" s="102"/>
      <c r="BI391" s="102"/>
      <c r="BJ391" s="102"/>
      <c r="BK391" s="102"/>
      <c r="BL391" s="102"/>
      <c r="BM391" s="102"/>
      <c r="BN391" s="102"/>
      <c r="BO391" s="102"/>
      <c r="BP391" s="102"/>
      <c r="BQ391" s="102"/>
      <c r="BR391" s="102"/>
      <c r="BS391" s="54" t="s">
        <v>23</v>
      </c>
      <c r="BT391" s="45" t="str">
        <f t="shared" si="189"/>
        <v>No</v>
      </c>
      <c r="BU391" s="45" t="str">
        <f t="shared" si="190"/>
        <v>No</v>
      </c>
      <c r="BV391" s="45" t="str">
        <f t="shared" si="191"/>
        <v>No</v>
      </c>
      <c r="BW391" s="55">
        <v>89.089574850866398</v>
      </c>
      <c r="BX391" s="55"/>
      <c r="BY391" s="55">
        <v>90.319574850866388</v>
      </c>
      <c r="BZ391" s="55"/>
      <c r="CA391" s="45">
        <v>2004</v>
      </c>
      <c r="CB391" s="55">
        <f t="shared" si="199"/>
        <v>22.52800977795885</v>
      </c>
      <c r="CC391" s="46" t="s">
        <v>489</v>
      </c>
      <c r="CD391" s="46" t="s">
        <v>151</v>
      </c>
      <c r="CE391" s="46" t="s">
        <v>783</v>
      </c>
      <c r="CF391" s="46">
        <v>2</v>
      </c>
      <c r="CG391" s="46" t="str">
        <f t="shared" si="198"/>
        <v>Yes</v>
      </c>
      <c r="CH391" s="46" t="s">
        <v>35</v>
      </c>
      <c r="CI391" s="56">
        <v>0</v>
      </c>
      <c r="CJ391" s="46">
        <v>20</v>
      </c>
      <c r="CK391" s="46" t="s">
        <v>23</v>
      </c>
      <c r="CL391" s="49" t="s">
        <v>29</v>
      </c>
      <c r="CM391" s="50">
        <v>0</v>
      </c>
      <c r="CN391" s="50"/>
      <c r="CO391" s="50"/>
      <c r="CP391" s="46" t="s">
        <v>35</v>
      </c>
      <c r="CQ391" s="46" t="s">
        <v>24</v>
      </c>
      <c r="CR391" s="46">
        <v>7</v>
      </c>
      <c r="CS391" s="46" t="s">
        <v>854</v>
      </c>
      <c r="CT391" s="46" t="s">
        <v>53</v>
      </c>
      <c r="CU391" s="46" t="s">
        <v>74</v>
      </c>
      <c r="CV391" s="46">
        <v>1</v>
      </c>
      <c r="CW391" s="46" t="s">
        <v>23</v>
      </c>
      <c r="CX391" s="49" t="s">
        <v>744</v>
      </c>
      <c r="CY391" s="49" t="s">
        <v>36</v>
      </c>
      <c r="CZ391" s="49">
        <v>0</v>
      </c>
      <c r="DA391" s="49">
        <v>1</v>
      </c>
      <c r="DB391" s="64">
        <v>49090</v>
      </c>
      <c r="DC391" s="58">
        <v>41.5</v>
      </c>
      <c r="DD391" s="58">
        <v>14.149999999999999</v>
      </c>
      <c r="DE391" s="58">
        <v>15.590000000000002</v>
      </c>
      <c r="DF391" s="58">
        <v>25.31</v>
      </c>
      <c r="DG391" s="58">
        <v>3.4499999999999975</v>
      </c>
      <c r="DH391" s="58">
        <v>58.5</v>
      </c>
      <c r="DI391" s="45" t="s">
        <v>35</v>
      </c>
      <c r="DJ391" s="59" t="str">
        <f t="shared" si="200"/>
        <v>No single majority group</v>
      </c>
      <c r="DK391" s="65">
        <v>8182</v>
      </c>
      <c r="DL391" s="58">
        <v>48.32</v>
      </c>
      <c r="DM391" s="58">
        <v>16.29</v>
      </c>
      <c r="DN391" s="58">
        <v>18.190000000000001</v>
      </c>
      <c r="DO391" s="58">
        <v>51.679999999999993</v>
      </c>
      <c r="DP391" s="66">
        <v>52.3</v>
      </c>
      <c r="DQ391" s="67">
        <v>68221.179999999993</v>
      </c>
      <c r="DR391" s="53">
        <v>7.4</v>
      </c>
      <c r="DS391" s="58">
        <v>73.8</v>
      </c>
      <c r="DT391" s="53">
        <v>58.4</v>
      </c>
      <c r="DU391" s="55">
        <v>2.83</v>
      </c>
      <c r="DV391" s="102">
        <v>37.6</v>
      </c>
      <c r="DW391" s="53">
        <v>83.3</v>
      </c>
      <c r="DX391" s="53">
        <v>90.62</v>
      </c>
      <c r="DY391" s="53">
        <v>49.201700000000002</v>
      </c>
      <c r="DZ391" s="63"/>
    </row>
    <row r="392" spans="1:130" s="5" customFormat="1" ht="14.25" hidden="1" customHeight="1">
      <c r="A392" s="45">
        <v>1361</v>
      </c>
      <c r="B392" s="46" t="s">
        <v>331</v>
      </c>
      <c r="C392" s="47">
        <v>2006</v>
      </c>
      <c r="D392" s="47" t="s">
        <v>38</v>
      </c>
      <c r="E392" s="46" t="s">
        <v>22</v>
      </c>
      <c r="F392" s="46">
        <v>4</v>
      </c>
      <c r="G392" s="48">
        <v>35000</v>
      </c>
      <c r="H392" s="46" t="s">
        <v>332</v>
      </c>
      <c r="I392" s="46">
        <v>1</v>
      </c>
      <c r="J392" s="46">
        <v>4</v>
      </c>
      <c r="K392" s="49" t="s">
        <v>346</v>
      </c>
      <c r="L392" s="49" t="s">
        <v>30</v>
      </c>
      <c r="M392" s="49" t="s">
        <v>29</v>
      </c>
      <c r="N392" s="49" t="s">
        <v>512</v>
      </c>
      <c r="O392" s="49"/>
      <c r="P392" s="49" t="s">
        <v>31</v>
      </c>
      <c r="Q392" s="49" t="s">
        <v>29</v>
      </c>
      <c r="R392" s="49">
        <v>1</v>
      </c>
      <c r="S392" s="50">
        <f t="shared" si="193"/>
        <v>25</v>
      </c>
      <c r="T392" s="49">
        <v>1</v>
      </c>
      <c r="U392" s="50">
        <f t="shared" si="194"/>
        <v>25</v>
      </c>
      <c r="V392" s="49" t="s">
        <v>858</v>
      </c>
      <c r="W392" s="49">
        <v>0</v>
      </c>
      <c r="X392" s="50">
        <f t="shared" si="195"/>
        <v>0</v>
      </c>
      <c r="Y392" s="51" t="str">
        <f t="shared" si="196"/>
        <v>No</v>
      </c>
      <c r="Z392" s="49" t="s">
        <v>35</v>
      </c>
      <c r="AA392" s="49" t="s">
        <v>23</v>
      </c>
      <c r="AB392" s="49" t="s">
        <v>23</v>
      </c>
      <c r="AC392" s="46" t="s">
        <v>26</v>
      </c>
      <c r="AD392" s="46" t="s">
        <v>27</v>
      </c>
      <c r="AE392" s="46" t="s">
        <v>73</v>
      </c>
      <c r="AF392" s="46" t="s">
        <v>29</v>
      </c>
      <c r="AG392" s="103">
        <v>22626</v>
      </c>
      <c r="AH392" s="52">
        <v>14572</v>
      </c>
      <c r="AI392" s="52">
        <v>20298</v>
      </c>
      <c r="AJ392" s="102">
        <v>47.71</v>
      </c>
      <c r="AK392" s="104">
        <v>95.42</v>
      </c>
      <c r="AL392" s="102">
        <v>56.94</v>
      </c>
      <c r="AM392" s="102"/>
      <c r="AN392" s="53">
        <f t="shared" si="197"/>
        <v>113.88</v>
      </c>
      <c r="AO392" s="53">
        <v>36.200000000000003</v>
      </c>
      <c r="AP392" s="102">
        <v>2328</v>
      </c>
      <c r="AQ392" s="102">
        <v>10.289047997878546</v>
      </c>
      <c r="AR392" s="102"/>
      <c r="AS392" s="102"/>
      <c r="AT392" s="102"/>
      <c r="AU392" s="102"/>
      <c r="AV392" s="102"/>
      <c r="AW392" s="102"/>
      <c r="AX392" s="102"/>
      <c r="AY392" s="102"/>
      <c r="AZ392" s="102"/>
      <c r="BA392" s="102"/>
      <c r="BB392" s="102"/>
      <c r="BC392" s="102"/>
      <c r="BD392" s="102"/>
      <c r="BE392" s="102"/>
      <c r="BF392" s="102"/>
      <c r="BG392" s="102"/>
      <c r="BH392" s="102"/>
      <c r="BI392" s="102"/>
      <c r="BJ392" s="102"/>
      <c r="BK392" s="102"/>
      <c r="BL392" s="102"/>
      <c r="BM392" s="102"/>
      <c r="BN392" s="102"/>
      <c r="BO392" s="102"/>
      <c r="BP392" s="102"/>
      <c r="BQ392" s="102"/>
      <c r="BR392" s="102"/>
      <c r="BS392" s="54" t="s">
        <v>29</v>
      </c>
      <c r="BT392" s="45" t="str">
        <f t="shared" si="189"/>
        <v>Yes</v>
      </c>
      <c r="BU392" s="45" t="str">
        <f t="shared" si="190"/>
        <v>Yes</v>
      </c>
      <c r="BV392" s="45" t="str">
        <f t="shared" si="191"/>
        <v>No</v>
      </c>
      <c r="BW392" s="55">
        <v>89.089574850866398</v>
      </c>
      <c r="BX392" s="55">
        <v>89.089574850866398</v>
      </c>
      <c r="BY392" s="55">
        <v>90.319574850866388</v>
      </c>
      <c r="BZ392" s="55">
        <f>BX392-(-0.0246*100/2)</f>
        <v>90.319574850866402</v>
      </c>
      <c r="CA392" s="45">
        <v>2004</v>
      </c>
      <c r="CB392" s="55">
        <f t="shared" si="199"/>
        <v>41.348543491546138</v>
      </c>
      <c r="CC392" s="46" t="s">
        <v>281</v>
      </c>
      <c r="CD392" s="46" t="s">
        <v>151</v>
      </c>
      <c r="CE392" s="46" t="s">
        <v>783</v>
      </c>
      <c r="CF392" s="46">
        <v>2</v>
      </c>
      <c r="CG392" s="46" t="str">
        <f t="shared" si="198"/>
        <v>Yes</v>
      </c>
      <c r="CH392" s="46" t="s">
        <v>35</v>
      </c>
      <c r="CI392" s="56">
        <v>0</v>
      </c>
      <c r="CJ392" s="46">
        <v>20</v>
      </c>
      <c r="CK392" s="46" t="s">
        <v>23</v>
      </c>
      <c r="CL392" s="49" t="s">
        <v>29</v>
      </c>
      <c r="CM392" s="50">
        <v>0</v>
      </c>
      <c r="CN392" s="50">
        <v>206384.91119999997</v>
      </c>
      <c r="CO392" s="50" t="s">
        <v>29</v>
      </c>
      <c r="CP392" s="46" t="s">
        <v>23</v>
      </c>
      <c r="CQ392" s="46" t="s">
        <v>23</v>
      </c>
      <c r="CR392" s="46">
        <v>7</v>
      </c>
      <c r="CS392" s="46" t="s">
        <v>854</v>
      </c>
      <c r="CT392" s="46" t="s">
        <v>53</v>
      </c>
      <c r="CU392" s="46" t="s">
        <v>74</v>
      </c>
      <c r="CV392" s="46">
        <v>1</v>
      </c>
      <c r="CW392" s="46" t="s">
        <v>23</v>
      </c>
      <c r="CX392" s="49" t="s">
        <v>744</v>
      </c>
      <c r="CY392" s="49" t="s">
        <v>36</v>
      </c>
      <c r="CZ392" s="49">
        <v>0</v>
      </c>
      <c r="DA392" s="49">
        <v>1</v>
      </c>
      <c r="DB392" s="64">
        <v>49090</v>
      </c>
      <c r="DC392" s="58">
        <v>41.5</v>
      </c>
      <c r="DD392" s="58">
        <v>14.149999999999999</v>
      </c>
      <c r="DE392" s="58">
        <v>15.590000000000002</v>
      </c>
      <c r="DF392" s="58">
        <v>25.31</v>
      </c>
      <c r="DG392" s="58">
        <v>3.4499999999999975</v>
      </c>
      <c r="DH392" s="58">
        <v>58.5</v>
      </c>
      <c r="DI392" s="45" t="s">
        <v>35</v>
      </c>
      <c r="DJ392" s="59" t="str">
        <f t="shared" si="200"/>
        <v>No single majority group</v>
      </c>
      <c r="DK392" s="65">
        <v>49090</v>
      </c>
      <c r="DL392" s="58">
        <v>41.5</v>
      </c>
      <c r="DM392" s="58">
        <v>14.149999999999999</v>
      </c>
      <c r="DN392" s="58">
        <v>15.590000000000002</v>
      </c>
      <c r="DO392" s="58">
        <v>58.5</v>
      </c>
      <c r="DP392" s="66">
        <v>52.3</v>
      </c>
      <c r="DQ392" s="67">
        <v>68221.179999999993</v>
      </c>
      <c r="DR392" s="53">
        <v>7.4</v>
      </c>
      <c r="DS392" s="58">
        <v>73.8</v>
      </c>
      <c r="DT392" s="53">
        <v>58.4</v>
      </c>
      <c r="DU392" s="55">
        <v>2.83</v>
      </c>
      <c r="DV392" s="102">
        <v>37.6</v>
      </c>
      <c r="DW392" s="53">
        <v>83.3</v>
      </c>
      <c r="DX392" s="53">
        <v>90.62</v>
      </c>
      <c r="DY392" s="53">
        <v>49.201700000000002</v>
      </c>
      <c r="DZ392" s="63"/>
    </row>
    <row r="393" spans="1:130" s="5" customFormat="1" ht="14.25" hidden="1" customHeight="1">
      <c r="A393" s="45">
        <v>1358</v>
      </c>
      <c r="B393" s="46" t="s">
        <v>331</v>
      </c>
      <c r="C393" s="47">
        <v>2008</v>
      </c>
      <c r="D393" s="47" t="s">
        <v>91</v>
      </c>
      <c r="E393" s="71" t="s">
        <v>92</v>
      </c>
      <c r="F393" s="46">
        <v>4</v>
      </c>
      <c r="G393" s="48">
        <v>15000</v>
      </c>
      <c r="H393" s="46" t="s">
        <v>332</v>
      </c>
      <c r="I393" s="46">
        <v>1</v>
      </c>
      <c r="J393" s="46">
        <v>3</v>
      </c>
      <c r="K393" s="49" t="s">
        <v>344</v>
      </c>
      <c r="L393" s="49" t="s">
        <v>40</v>
      </c>
      <c r="M393" s="49" t="s">
        <v>35</v>
      </c>
      <c r="N393" s="49" t="s">
        <v>512</v>
      </c>
      <c r="O393" s="49"/>
      <c r="P393" s="49" t="s">
        <v>31</v>
      </c>
      <c r="Q393" s="49" t="s">
        <v>29</v>
      </c>
      <c r="R393" s="49">
        <v>2</v>
      </c>
      <c r="S393" s="50">
        <f t="shared" si="193"/>
        <v>66.666666666666657</v>
      </c>
      <c r="T393" s="49">
        <v>1</v>
      </c>
      <c r="U393" s="50">
        <f t="shared" si="194"/>
        <v>33.333333333333329</v>
      </c>
      <c r="V393" s="49" t="s">
        <v>858</v>
      </c>
      <c r="W393" s="49">
        <v>1</v>
      </c>
      <c r="X393" s="50">
        <f t="shared" si="195"/>
        <v>33.333333333333329</v>
      </c>
      <c r="Y393" s="51" t="str">
        <f t="shared" si="196"/>
        <v>No</v>
      </c>
      <c r="Z393" s="49" t="s">
        <v>35</v>
      </c>
      <c r="AA393" s="49" t="s">
        <v>23</v>
      </c>
      <c r="AB393" s="49" t="s">
        <v>23</v>
      </c>
      <c r="AC393" s="46" t="s">
        <v>26</v>
      </c>
      <c r="AD393" s="46" t="s">
        <v>27</v>
      </c>
      <c r="AE393" s="46" t="s">
        <v>89</v>
      </c>
      <c r="AF393" s="46" t="s">
        <v>29</v>
      </c>
      <c r="AG393" s="103">
        <v>32892</v>
      </c>
      <c r="AH393" s="52">
        <v>10587</v>
      </c>
      <c r="AI393" s="52">
        <v>26776</v>
      </c>
      <c r="AJ393" s="102">
        <v>41.52</v>
      </c>
      <c r="AK393" s="104">
        <v>83.04</v>
      </c>
      <c r="AL393" s="102">
        <v>56.59</v>
      </c>
      <c r="AM393" s="102"/>
      <c r="AN393" s="53">
        <f t="shared" si="197"/>
        <v>113.18</v>
      </c>
      <c r="AO393" s="53">
        <v>31.12</v>
      </c>
      <c r="AP393" s="102">
        <v>6116</v>
      </c>
      <c r="AQ393" s="102">
        <v>18.594187036361426</v>
      </c>
      <c r="AR393" s="102"/>
      <c r="AS393" s="102"/>
      <c r="AT393" s="102"/>
      <c r="AU393" s="102"/>
      <c r="AV393" s="102"/>
      <c r="AW393" s="102"/>
      <c r="AX393" s="102"/>
      <c r="AY393" s="102"/>
      <c r="AZ393" s="102"/>
      <c r="BA393" s="102"/>
      <c r="BB393" s="102"/>
      <c r="BC393" s="102"/>
      <c r="BD393" s="102"/>
      <c r="BE393" s="102"/>
      <c r="BF393" s="102"/>
      <c r="BG393" s="102"/>
      <c r="BH393" s="102"/>
      <c r="BI393" s="102"/>
      <c r="BJ393" s="102"/>
      <c r="BK393" s="102"/>
      <c r="BL393" s="102"/>
      <c r="BM393" s="102"/>
      <c r="BN393" s="102"/>
      <c r="BO393" s="102"/>
      <c r="BP393" s="102"/>
      <c r="BQ393" s="102"/>
      <c r="BR393" s="102"/>
      <c r="BS393" s="54" t="s">
        <v>29</v>
      </c>
      <c r="BT393" s="45" t="str">
        <f t="shared" si="189"/>
        <v>Yes</v>
      </c>
      <c r="BU393" s="45" t="str">
        <f t="shared" si="190"/>
        <v>Yes</v>
      </c>
      <c r="BV393" s="45" t="str">
        <f t="shared" si="191"/>
        <v>No</v>
      </c>
      <c r="BW393" s="55">
        <f t="shared" ref="BW393:BW399" si="201">(24371/(24371+7310))*100</f>
        <v>76.926233389097561</v>
      </c>
      <c r="BX393" s="55"/>
      <c r="BY393" s="55">
        <v>73.29123338909757</v>
      </c>
      <c r="BZ393" s="55"/>
      <c r="CA393" s="45">
        <v>2008</v>
      </c>
      <c r="CB393" s="55">
        <f t="shared" si="199"/>
        <v>50.992191963435538</v>
      </c>
      <c r="CC393" s="46" t="s">
        <v>489</v>
      </c>
      <c r="CD393" s="46" t="s">
        <v>151</v>
      </c>
      <c r="CE393" s="46" t="s">
        <v>783</v>
      </c>
      <c r="CF393" s="46">
        <v>2</v>
      </c>
      <c r="CG393" s="46" t="str">
        <f t="shared" si="198"/>
        <v>Yes</v>
      </c>
      <c r="CH393" s="46" t="s">
        <v>35</v>
      </c>
      <c r="CI393" s="56">
        <v>0</v>
      </c>
      <c r="CJ393" s="46">
        <v>20</v>
      </c>
      <c r="CK393" s="46" t="s">
        <v>23</v>
      </c>
      <c r="CL393" s="49" t="s">
        <v>29</v>
      </c>
      <c r="CM393" s="50">
        <v>0</v>
      </c>
      <c r="CN393" s="50"/>
      <c r="CO393" s="50"/>
      <c r="CP393" s="46" t="s">
        <v>35</v>
      </c>
      <c r="CQ393" s="46" t="s">
        <v>24</v>
      </c>
      <c r="CR393" s="46">
        <v>7</v>
      </c>
      <c r="CS393" s="46" t="s">
        <v>854</v>
      </c>
      <c r="CT393" s="46" t="s">
        <v>53</v>
      </c>
      <c r="CU393" s="46" t="s">
        <v>74</v>
      </c>
      <c r="CV393" s="46">
        <v>1</v>
      </c>
      <c r="CW393" s="46" t="s">
        <v>23</v>
      </c>
      <c r="CX393" s="49" t="s">
        <v>744</v>
      </c>
      <c r="CY393" s="49" t="s">
        <v>36</v>
      </c>
      <c r="CZ393" s="49">
        <v>0</v>
      </c>
      <c r="DA393" s="49">
        <v>1</v>
      </c>
      <c r="DB393" s="64">
        <v>52510</v>
      </c>
      <c r="DC393" s="58">
        <v>38.090000000000003</v>
      </c>
      <c r="DD393" s="58">
        <v>14.099999999999998</v>
      </c>
      <c r="DE393" s="58">
        <v>16.830000000000002</v>
      </c>
      <c r="DF393" s="58">
        <v>27.07</v>
      </c>
      <c r="DG393" s="58">
        <v>3.9099999999999913</v>
      </c>
      <c r="DH393" s="58">
        <v>61.91</v>
      </c>
      <c r="DI393" s="45" t="s">
        <v>35</v>
      </c>
      <c r="DJ393" s="59" t="str">
        <f t="shared" si="200"/>
        <v>No single majority group</v>
      </c>
      <c r="DK393" s="65">
        <v>8444</v>
      </c>
      <c r="DL393" s="58">
        <v>34.44</v>
      </c>
      <c r="DM393" s="58">
        <v>16.63</v>
      </c>
      <c r="DN393" s="58">
        <v>18.11</v>
      </c>
      <c r="DO393" s="58">
        <v>65.56</v>
      </c>
      <c r="DP393" s="66">
        <v>53.1</v>
      </c>
      <c r="DQ393" s="67">
        <v>67972.47</v>
      </c>
      <c r="DR393" s="53">
        <v>8.6</v>
      </c>
      <c r="DS393" s="58">
        <v>75.2</v>
      </c>
      <c r="DT393" s="53">
        <v>58.1</v>
      </c>
      <c r="DU393" s="55">
        <v>2.81</v>
      </c>
      <c r="DV393" s="102">
        <v>37.5</v>
      </c>
      <c r="DW393" s="53">
        <v>83.3</v>
      </c>
      <c r="DX393" s="53">
        <v>87.77</v>
      </c>
      <c r="DY393" s="53">
        <v>57.396099999999997</v>
      </c>
      <c r="DZ393" s="63"/>
    </row>
    <row r="394" spans="1:130" s="5" customFormat="1" ht="14.25" hidden="1" customHeight="1">
      <c r="A394" s="45">
        <v>1359</v>
      </c>
      <c r="B394" s="46" t="s">
        <v>331</v>
      </c>
      <c r="C394" s="47">
        <v>2008</v>
      </c>
      <c r="D394" s="47" t="s">
        <v>79</v>
      </c>
      <c r="E394" s="71" t="s">
        <v>80</v>
      </c>
      <c r="F394" s="46">
        <v>4</v>
      </c>
      <c r="G394" s="48">
        <v>15000</v>
      </c>
      <c r="H394" s="46" t="s">
        <v>332</v>
      </c>
      <c r="I394" s="46">
        <v>1</v>
      </c>
      <c r="J394" s="46">
        <v>3</v>
      </c>
      <c r="K394" s="49" t="s">
        <v>345</v>
      </c>
      <c r="L394" s="49" t="s">
        <v>40</v>
      </c>
      <c r="M394" s="49" t="s">
        <v>35</v>
      </c>
      <c r="N394" s="49" t="s">
        <v>513</v>
      </c>
      <c r="O394" s="49"/>
      <c r="P394" s="49" t="s">
        <v>31</v>
      </c>
      <c r="Q394" s="49" t="s">
        <v>29</v>
      </c>
      <c r="R394" s="49">
        <v>1</v>
      </c>
      <c r="S394" s="50">
        <f t="shared" si="193"/>
        <v>33.333333333333329</v>
      </c>
      <c r="T394" s="49">
        <v>0</v>
      </c>
      <c r="U394" s="50">
        <f t="shared" si="194"/>
        <v>0</v>
      </c>
      <c r="V394" s="45"/>
      <c r="W394" s="49">
        <v>0</v>
      </c>
      <c r="X394" s="50">
        <f t="shared" si="195"/>
        <v>0</v>
      </c>
      <c r="Y394" s="51" t="str">
        <f t="shared" si="196"/>
        <v>No</v>
      </c>
      <c r="Z394" s="49" t="s">
        <v>29</v>
      </c>
      <c r="AA394" s="49" t="s">
        <v>29</v>
      </c>
      <c r="AB394" s="45" t="s">
        <v>35</v>
      </c>
      <c r="AC394" s="46" t="s">
        <v>151</v>
      </c>
      <c r="AD394" s="46" t="s">
        <v>152</v>
      </c>
      <c r="AE394" s="46" t="s">
        <v>89</v>
      </c>
      <c r="AF394" s="46" t="s">
        <v>29</v>
      </c>
      <c r="AG394" s="103">
        <v>11688</v>
      </c>
      <c r="AH394" s="52">
        <v>10357</v>
      </c>
      <c r="AI394" s="52">
        <v>10357</v>
      </c>
      <c r="AJ394" s="102">
        <v>63.12</v>
      </c>
      <c r="AK394" s="104">
        <v>126.24</v>
      </c>
      <c r="AL394" s="102">
        <v>63.13</v>
      </c>
      <c r="AM394" s="102"/>
      <c r="AN394" s="53">
        <f t="shared" si="197"/>
        <v>126.26</v>
      </c>
      <c r="AO394" s="53">
        <v>18.420000000000002</v>
      </c>
      <c r="AP394" s="102">
        <v>1331</v>
      </c>
      <c r="AQ394" s="102">
        <v>11.387748117727584</v>
      </c>
      <c r="AR394" s="102"/>
      <c r="AS394" s="102"/>
      <c r="AT394" s="102"/>
      <c r="AU394" s="102"/>
      <c r="AV394" s="102"/>
      <c r="AW394" s="102"/>
      <c r="AX394" s="102"/>
      <c r="AY394" s="102"/>
      <c r="AZ394" s="102"/>
      <c r="BA394" s="102"/>
      <c r="BB394" s="102"/>
      <c r="BC394" s="102"/>
      <c r="BD394" s="102"/>
      <c r="BE394" s="102"/>
      <c r="BF394" s="102"/>
      <c r="BG394" s="102"/>
      <c r="BH394" s="102"/>
      <c r="BI394" s="102"/>
      <c r="BJ394" s="102"/>
      <c r="BK394" s="102"/>
      <c r="BL394" s="102"/>
      <c r="BM394" s="102"/>
      <c r="BN394" s="102"/>
      <c r="BO394" s="102"/>
      <c r="BP394" s="102"/>
      <c r="BQ394" s="102"/>
      <c r="BR394" s="102"/>
      <c r="BS394" s="54" t="s">
        <v>29</v>
      </c>
      <c r="BT394" s="45" t="str">
        <f t="shared" si="189"/>
        <v>No</v>
      </c>
      <c r="BU394" s="45" t="str">
        <f t="shared" si="190"/>
        <v>No</v>
      </c>
      <c r="BV394" s="45" t="str">
        <f t="shared" si="191"/>
        <v>No</v>
      </c>
      <c r="BW394" s="55">
        <f t="shared" si="201"/>
        <v>76.926233389097561</v>
      </c>
      <c r="BX394" s="55"/>
      <c r="BY394" s="55">
        <v>73.29123338909757</v>
      </c>
      <c r="BZ394" s="55"/>
      <c r="CA394" s="45">
        <v>2008</v>
      </c>
      <c r="CB394" s="55">
        <f t="shared" si="199"/>
        <v>19.723862121500666</v>
      </c>
      <c r="CC394" s="46" t="s">
        <v>489</v>
      </c>
      <c r="CD394" s="46" t="s">
        <v>151</v>
      </c>
      <c r="CE394" s="46" t="s">
        <v>783</v>
      </c>
      <c r="CF394" s="46">
        <v>2</v>
      </c>
      <c r="CG394" s="46" t="str">
        <f t="shared" si="198"/>
        <v>Yes</v>
      </c>
      <c r="CH394" s="46" t="s">
        <v>35</v>
      </c>
      <c r="CI394" s="56">
        <v>0</v>
      </c>
      <c r="CJ394" s="46">
        <v>20</v>
      </c>
      <c r="CK394" s="46" t="s">
        <v>23</v>
      </c>
      <c r="CL394" s="49" t="s">
        <v>29</v>
      </c>
      <c r="CM394" s="50">
        <v>0</v>
      </c>
      <c r="CN394" s="50"/>
      <c r="CO394" s="50"/>
      <c r="CP394" s="46" t="s">
        <v>35</v>
      </c>
      <c r="CQ394" s="46" t="s">
        <v>24</v>
      </c>
      <c r="CR394" s="46">
        <v>7</v>
      </c>
      <c r="CS394" s="46" t="s">
        <v>854</v>
      </c>
      <c r="CT394" s="46" t="s">
        <v>53</v>
      </c>
      <c r="CU394" s="46" t="s">
        <v>74</v>
      </c>
      <c r="CV394" s="46">
        <v>1</v>
      </c>
      <c r="CW394" s="46" t="s">
        <v>23</v>
      </c>
      <c r="CX394" s="49" t="s">
        <v>744</v>
      </c>
      <c r="CY394" s="49" t="s">
        <v>36</v>
      </c>
      <c r="CZ394" s="49">
        <v>0</v>
      </c>
      <c r="DA394" s="49">
        <v>1</v>
      </c>
      <c r="DB394" s="64">
        <v>52510</v>
      </c>
      <c r="DC394" s="58">
        <v>38.090000000000003</v>
      </c>
      <c r="DD394" s="58">
        <v>14.099999999999998</v>
      </c>
      <c r="DE394" s="58">
        <v>16.830000000000002</v>
      </c>
      <c r="DF394" s="58">
        <v>27.07</v>
      </c>
      <c r="DG394" s="58">
        <v>3.9099999999999913</v>
      </c>
      <c r="DH394" s="58">
        <v>61.91</v>
      </c>
      <c r="DI394" s="45" t="s">
        <v>35</v>
      </c>
      <c r="DJ394" s="59" t="str">
        <f t="shared" si="200"/>
        <v>No single majority group</v>
      </c>
      <c r="DK394" s="65">
        <v>9750</v>
      </c>
      <c r="DL394" s="58">
        <v>40.67</v>
      </c>
      <c r="DM394" s="58">
        <v>8.61</v>
      </c>
      <c r="DN394" s="58">
        <v>11.559999999999999</v>
      </c>
      <c r="DO394" s="58">
        <v>59.329999999999991</v>
      </c>
      <c r="DP394" s="66">
        <v>53.1</v>
      </c>
      <c r="DQ394" s="67">
        <v>67972.47</v>
      </c>
      <c r="DR394" s="53">
        <v>8.6</v>
      </c>
      <c r="DS394" s="58">
        <v>75.2</v>
      </c>
      <c r="DT394" s="53">
        <v>58.1</v>
      </c>
      <c r="DU394" s="55">
        <v>2.81</v>
      </c>
      <c r="DV394" s="50">
        <v>37.5</v>
      </c>
      <c r="DW394" s="53">
        <v>83.3</v>
      </c>
      <c r="DX394" s="53">
        <v>87.77</v>
      </c>
      <c r="DY394" s="53">
        <v>57.396099999999997</v>
      </c>
      <c r="DZ394" s="63"/>
    </row>
    <row r="395" spans="1:130" s="5" customFormat="1" ht="14.25" hidden="1" customHeight="1">
      <c r="A395" s="45">
        <v>1360</v>
      </c>
      <c r="B395" s="46" t="s">
        <v>331</v>
      </c>
      <c r="C395" s="47">
        <v>2008</v>
      </c>
      <c r="D395" s="47" t="s">
        <v>100</v>
      </c>
      <c r="E395" s="46" t="s">
        <v>101</v>
      </c>
      <c r="F395" s="46">
        <v>4</v>
      </c>
      <c r="G395" s="48">
        <v>15000</v>
      </c>
      <c r="H395" s="46" t="s">
        <v>332</v>
      </c>
      <c r="I395" s="46">
        <v>1</v>
      </c>
      <c r="J395" s="46">
        <v>5</v>
      </c>
      <c r="K395" s="49" t="s">
        <v>340</v>
      </c>
      <c r="L395" s="49" t="s">
        <v>30</v>
      </c>
      <c r="M395" s="49" t="s">
        <v>29</v>
      </c>
      <c r="N395" s="49" t="s">
        <v>512</v>
      </c>
      <c r="O395" s="49"/>
      <c r="P395" s="49" t="s">
        <v>31</v>
      </c>
      <c r="Q395" s="49" t="s">
        <v>29</v>
      </c>
      <c r="R395" s="49">
        <v>2</v>
      </c>
      <c r="S395" s="50">
        <f t="shared" si="193"/>
        <v>40</v>
      </c>
      <c r="T395" s="49">
        <v>3</v>
      </c>
      <c r="U395" s="50">
        <f t="shared" si="194"/>
        <v>60</v>
      </c>
      <c r="V395" s="49" t="s">
        <v>895</v>
      </c>
      <c r="W395" s="49">
        <v>1</v>
      </c>
      <c r="X395" s="50">
        <f t="shared" si="195"/>
        <v>20</v>
      </c>
      <c r="Y395" s="51" t="str">
        <f t="shared" si="196"/>
        <v>No</v>
      </c>
      <c r="Z395" s="49" t="s">
        <v>35</v>
      </c>
      <c r="AA395" s="49" t="s">
        <v>23</v>
      </c>
      <c r="AB395" s="49" t="s">
        <v>23</v>
      </c>
      <c r="AC395" s="46" t="s">
        <v>151</v>
      </c>
      <c r="AD395" s="46" t="s">
        <v>152</v>
      </c>
      <c r="AE395" s="46" t="s">
        <v>89</v>
      </c>
      <c r="AF395" s="46" t="s">
        <v>29</v>
      </c>
      <c r="AG395" s="103">
        <v>11688</v>
      </c>
      <c r="AH395" s="52">
        <v>10330</v>
      </c>
      <c r="AI395" s="52">
        <v>10330</v>
      </c>
      <c r="AJ395" s="102">
        <v>57.49</v>
      </c>
      <c r="AK395" s="104">
        <v>114.98</v>
      </c>
      <c r="AL395" s="102">
        <v>57.49</v>
      </c>
      <c r="AM395" s="102"/>
      <c r="AN395" s="53">
        <f t="shared" si="197"/>
        <v>114.98</v>
      </c>
      <c r="AO395" s="53">
        <v>17.77</v>
      </c>
      <c r="AP395" s="102">
        <v>1358</v>
      </c>
      <c r="AQ395" s="102">
        <v>11.618754277891854</v>
      </c>
      <c r="AR395" s="102"/>
      <c r="AS395" s="102"/>
      <c r="AT395" s="102"/>
      <c r="AU395" s="102"/>
      <c r="AV395" s="102"/>
      <c r="AW395" s="102"/>
      <c r="AX395" s="102"/>
      <c r="AY395" s="102"/>
      <c r="AZ395" s="102"/>
      <c r="BA395" s="102"/>
      <c r="BB395" s="102"/>
      <c r="BC395" s="102"/>
      <c r="BD395" s="102"/>
      <c r="BE395" s="102"/>
      <c r="BF395" s="102"/>
      <c r="BG395" s="102"/>
      <c r="BH395" s="102"/>
      <c r="BI395" s="102"/>
      <c r="BJ395" s="102"/>
      <c r="BK395" s="102"/>
      <c r="BL395" s="102"/>
      <c r="BM395" s="102"/>
      <c r="BN395" s="102"/>
      <c r="BO395" s="102"/>
      <c r="BP395" s="102"/>
      <c r="BQ395" s="102"/>
      <c r="BR395" s="102"/>
      <c r="BS395" s="54" t="s">
        <v>29</v>
      </c>
      <c r="BT395" s="45" t="str">
        <f t="shared" si="189"/>
        <v>No</v>
      </c>
      <c r="BU395" s="45" t="str">
        <f t="shared" si="190"/>
        <v>No</v>
      </c>
      <c r="BV395" s="45" t="str">
        <f t="shared" si="191"/>
        <v>No</v>
      </c>
      <c r="BW395" s="55">
        <f t="shared" si="201"/>
        <v>76.926233389097561</v>
      </c>
      <c r="BX395" s="55"/>
      <c r="BY395" s="55">
        <v>73.29123338909757</v>
      </c>
      <c r="BZ395" s="55"/>
      <c r="CA395" s="45">
        <v>2008</v>
      </c>
      <c r="CB395" s="55">
        <f t="shared" si="199"/>
        <v>19.672443344124929</v>
      </c>
      <c r="CC395" s="46" t="s">
        <v>489</v>
      </c>
      <c r="CD395" s="46" t="s">
        <v>151</v>
      </c>
      <c r="CE395" s="46" t="s">
        <v>783</v>
      </c>
      <c r="CF395" s="46">
        <v>2</v>
      </c>
      <c r="CG395" s="46" t="str">
        <f t="shared" si="198"/>
        <v>Yes</v>
      </c>
      <c r="CH395" s="46" t="s">
        <v>35</v>
      </c>
      <c r="CI395" s="56">
        <v>0</v>
      </c>
      <c r="CJ395" s="46">
        <v>20</v>
      </c>
      <c r="CK395" s="46" t="s">
        <v>23</v>
      </c>
      <c r="CL395" s="49" t="s">
        <v>29</v>
      </c>
      <c r="CM395" s="50">
        <v>0</v>
      </c>
      <c r="CN395" s="50"/>
      <c r="CO395" s="50"/>
      <c r="CP395" s="46" t="s">
        <v>35</v>
      </c>
      <c r="CQ395" s="46" t="s">
        <v>24</v>
      </c>
      <c r="CR395" s="46">
        <v>7</v>
      </c>
      <c r="CS395" s="46" t="s">
        <v>854</v>
      </c>
      <c r="CT395" s="46" t="s">
        <v>53</v>
      </c>
      <c r="CU395" s="46" t="s">
        <v>74</v>
      </c>
      <c r="CV395" s="46">
        <v>1</v>
      </c>
      <c r="CW395" s="46" t="s">
        <v>23</v>
      </c>
      <c r="CX395" s="49" t="s">
        <v>744</v>
      </c>
      <c r="CY395" s="49" t="s">
        <v>36</v>
      </c>
      <c r="CZ395" s="49">
        <v>0</v>
      </c>
      <c r="DA395" s="49">
        <v>1</v>
      </c>
      <c r="DB395" s="64">
        <v>52510</v>
      </c>
      <c r="DC395" s="58">
        <v>38.090000000000003</v>
      </c>
      <c r="DD395" s="58">
        <v>14.099999999999998</v>
      </c>
      <c r="DE395" s="58">
        <v>16.830000000000002</v>
      </c>
      <c r="DF395" s="58">
        <v>27.07</v>
      </c>
      <c r="DG395" s="58">
        <v>3.9099999999999913</v>
      </c>
      <c r="DH395" s="58">
        <v>61.91</v>
      </c>
      <c r="DI395" s="45" t="s">
        <v>35</v>
      </c>
      <c r="DJ395" s="59" t="str">
        <f t="shared" si="200"/>
        <v>No single majority group</v>
      </c>
      <c r="DK395" s="65">
        <v>8115</v>
      </c>
      <c r="DL395" s="58">
        <v>28.53</v>
      </c>
      <c r="DM395" s="58">
        <v>11.03</v>
      </c>
      <c r="DN395" s="58">
        <v>21</v>
      </c>
      <c r="DO395" s="58">
        <v>71.47</v>
      </c>
      <c r="DP395" s="66">
        <v>53.1</v>
      </c>
      <c r="DQ395" s="67">
        <v>67972.47</v>
      </c>
      <c r="DR395" s="53">
        <v>8.6</v>
      </c>
      <c r="DS395" s="58">
        <v>75.2</v>
      </c>
      <c r="DT395" s="53">
        <v>58.1</v>
      </c>
      <c r="DU395" s="55">
        <v>2.81</v>
      </c>
      <c r="DV395" s="50">
        <v>37.5</v>
      </c>
      <c r="DW395" s="53">
        <v>83.3</v>
      </c>
      <c r="DX395" s="53">
        <v>87.77</v>
      </c>
      <c r="DY395" s="53">
        <v>57.396099999999997</v>
      </c>
      <c r="DZ395" s="63"/>
    </row>
    <row r="396" spans="1:130" s="5" customFormat="1" ht="14.25" hidden="1" customHeight="1">
      <c r="A396" s="45">
        <v>1355</v>
      </c>
      <c r="B396" s="46" t="s">
        <v>331</v>
      </c>
      <c r="C396" s="47">
        <v>2010</v>
      </c>
      <c r="D396" s="47" t="s">
        <v>76</v>
      </c>
      <c r="E396" s="46" t="s">
        <v>77</v>
      </c>
      <c r="F396" s="46">
        <v>4</v>
      </c>
      <c r="G396" s="48">
        <v>15000</v>
      </c>
      <c r="H396" s="46" t="s">
        <v>332</v>
      </c>
      <c r="I396" s="46">
        <v>1</v>
      </c>
      <c r="J396" s="46">
        <v>3</v>
      </c>
      <c r="K396" s="49" t="s">
        <v>342</v>
      </c>
      <c r="L396" s="49" t="s">
        <v>30</v>
      </c>
      <c r="M396" s="49" t="s">
        <v>29</v>
      </c>
      <c r="N396" s="49" t="s">
        <v>513</v>
      </c>
      <c r="O396" s="49"/>
      <c r="P396" s="49" t="s">
        <v>31</v>
      </c>
      <c r="Q396" s="49" t="s">
        <v>29</v>
      </c>
      <c r="R396" s="49">
        <v>1</v>
      </c>
      <c r="S396" s="50">
        <f t="shared" si="193"/>
        <v>33.333333333333329</v>
      </c>
      <c r="T396" s="49">
        <v>1</v>
      </c>
      <c r="U396" s="50">
        <f t="shared" si="194"/>
        <v>33.333333333333329</v>
      </c>
      <c r="V396" s="49" t="s">
        <v>858</v>
      </c>
      <c r="W396" s="49">
        <v>0</v>
      </c>
      <c r="X396" s="50">
        <f t="shared" si="195"/>
        <v>0</v>
      </c>
      <c r="Y396" s="51" t="str">
        <f t="shared" si="196"/>
        <v>No</v>
      </c>
      <c r="Z396" s="49" t="s">
        <v>29</v>
      </c>
      <c r="AA396" s="49" t="s">
        <v>29</v>
      </c>
      <c r="AB396" s="49" t="s">
        <v>29</v>
      </c>
      <c r="AC396" s="46" t="s">
        <v>72</v>
      </c>
      <c r="AD396" s="46" t="s">
        <v>27</v>
      </c>
      <c r="AE396" s="46" t="s">
        <v>73</v>
      </c>
      <c r="AF396" s="46" t="s">
        <v>29</v>
      </c>
      <c r="AG396" s="103">
        <v>23494</v>
      </c>
      <c r="AH396" s="52">
        <v>19942</v>
      </c>
      <c r="AI396" s="52">
        <v>19942</v>
      </c>
      <c r="AJ396" s="102">
        <v>65.05</v>
      </c>
      <c r="AK396" s="104">
        <v>130.1</v>
      </c>
      <c r="AL396" s="102">
        <v>65.05</v>
      </c>
      <c r="AM396" s="102"/>
      <c r="AN396" s="53">
        <f t="shared" si="197"/>
        <v>130.1</v>
      </c>
      <c r="AO396" s="53">
        <v>33.6</v>
      </c>
      <c r="AP396" s="102">
        <v>3416</v>
      </c>
      <c r="AQ396" s="108">
        <v>14.539882523197411</v>
      </c>
      <c r="AR396" s="102"/>
      <c r="AS396" s="102"/>
      <c r="AT396" s="102"/>
      <c r="AU396" s="102"/>
      <c r="AV396" s="102">
        <v>31</v>
      </c>
      <c r="AW396" s="102">
        <v>0.1</v>
      </c>
      <c r="AX396" s="102"/>
      <c r="AY396" s="102"/>
      <c r="AZ396" s="102"/>
      <c r="BA396" s="102"/>
      <c r="BB396" s="102"/>
      <c r="BC396" s="102"/>
      <c r="BD396" s="102"/>
      <c r="BE396" s="102"/>
      <c r="BF396" s="102"/>
      <c r="BG396" s="102"/>
      <c r="BH396" s="102"/>
      <c r="BI396" s="102"/>
      <c r="BJ396" s="102">
        <v>23</v>
      </c>
      <c r="BK396" s="102">
        <v>0.1</v>
      </c>
      <c r="BL396" s="102">
        <v>1995</v>
      </c>
      <c r="BM396" s="102">
        <v>8.6</v>
      </c>
      <c r="BN396" s="102"/>
      <c r="BO396" s="102"/>
      <c r="BP396" s="102"/>
      <c r="BQ396" s="102"/>
      <c r="BR396" s="102" t="s">
        <v>967</v>
      </c>
      <c r="BS396" s="54" t="s">
        <v>29</v>
      </c>
      <c r="BT396" s="45" t="str">
        <f t="shared" si="189"/>
        <v>Yes</v>
      </c>
      <c r="BU396" s="45" t="str">
        <f t="shared" si="190"/>
        <v>No</v>
      </c>
      <c r="BV396" s="45" t="str">
        <f t="shared" si="191"/>
        <v>No</v>
      </c>
      <c r="BW396" s="55">
        <f t="shared" si="201"/>
        <v>76.926233389097561</v>
      </c>
      <c r="BX396" s="55"/>
      <c r="BY396" s="55">
        <v>73.29123338909757</v>
      </c>
      <c r="BZ396" s="55"/>
      <c r="CA396" s="45">
        <v>2008</v>
      </c>
      <c r="CB396" s="55">
        <f t="shared" si="199"/>
        <v>36.254885919461863</v>
      </c>
      <c r="CC396" s="46" t="s">
        <v>334</v>
      </c>
      <c r="CD396" s="46" t="s">
        <v>71</v>
      </c>
      <c r="CE396" s="46" t="s">
        <v>783</v>
      </c>
      <c r="CF396" s="46">
        <v>1</v>
      </c>
      <c r="CG396" s="46" t="str">
        <f t="shared" si="198"/>
        <v>No</v>
      </c>
      <c r="CH396" s="46" t="s">
        <v>35</v>
      </c>
      <c r="CI396" s="56">
        <v>0</v>
      </c>
      <c r="CJ396" s="46">
        <v>20</v>
      </c>
      <c r="CK396" s="46" t="s">
        <v>23</v>
      </c>
      <c r="CL396" s="49" t="s">
        <v>29</v>
      </c>
      <c r="CM396" s="50">
        <v>0</v>
      </c>
      <c r="CN396" s="50"/>
      <c r="CO396" s="50"/>
      <c r="CP396" s="46" t="s">
        <v>35</v>
      </c>
      <c r="CQ396" s="46" t="s">
        <v>24</v>
      </c>
      <c r="CR396" s="46">
        <v>7</v>
      </c>
      <c r="CS396" s="46" t="s">
        <v>854</v>
      </c>
      <c r="CT396" s="46" t="s">
        <v>53</v>
      </c>
      <c r="CU396" s="46" t="s">
        <v>74</v>
      </c>
      <c r="CV396" s="46">
        <v>0</v>
      </c>
      <c r="CW396" s="46">
        <v>1</v>
      </c>
      <c r="CX396" s="49" t="s">
        <v>745</v>
      </c>
      <c r="CY396" s="49" t="s">
        <v>36</v>
      </c>
      <c r="CZ396" s="49">
        <v>0</v>
      </c>
      <c r="DA396" s="49">
        <v>1</v>
      </c>
      <c r="DB396" s="64">
        <v>55005</v>
      </c>
      <c r="DC396" s="58">
        <v>34.56</v>
      </c>
      <c r="DD396" s="58">
        <v>15</v>
      </c>
      <c r="DE396" s="58">
        <v>18.88</v>
      </c>
      <c r="DF396" s="58">
        <v>26.619999999999997</v>
      </c>
      <c r="DG396" s="58">
        <v>4.9399999999999995</v>
      </c>
      <c r="DH396" s="58">
        <v>65.44</v>
      </c>
      <c r="DI396" s="45" t="s">
        <v>35</v>
      </c>
      <c r="DJ396" s="59" t="str">
        <f t="shared" si="200"/>
        <v>No single majority group</v>
      </c>
      <c r="DK396" s="65">
        <v>8715</v>
      </c>
      <c r="DL396" s="58">
        <v>40.54</v>
      </c>
      <c r="DM396" s="58">
        <v>18.72</v>
      </c>
      <c r="DN396" s="58">
        <v>18.98</v>
      </c>
      <c r="DO396" s="58">
        <v>59.46</v>
      </c>
      <c r="DP396" s="66">
        <v>51.2</v>
      </c>
      <c r="DQ396" s="67">
        <v>64129.71</v>
      </c>
      <c r="DR396" s="53">
        <v>8.5</v>
      </c>
      <c r="DS396" s="58">
        <v>77.400000000000006</v>
      </c>
      <c r="DT396" s="53">
        <v>56.5</v>
      </c>
      <c r="DU396" s="55">
        <v>2.79</v>
      </c>
      <c r="DV396" s="50">
        <v>38.6</v>
      </c>
      <c r="DW396" s="53">
        <v>81.7</v>
      </c>
      <c r="DX396" s="53">
        <v>84.48</v>
      </c>
      <c r="DY396" s="53">
        <v>50.434899999999999</v>
      </c>
      <c r="DZ396" s="63"/>
    </row>
    <row r="397" spans="1:130" s="5" customFormat="1" ht="14.25" hidden="1" customHeight="1">
      <c r="A397" s="45">
        <v>1356</v>
      </c>
      <c r="B397" s="46" t="s">
        <v>331</v>
      </c>
      <c r="C397" s="47">
        <v>2010</v>
      </c>
      <c r="D397" s="47" t="s">
        <v>94</v>
      </c>
      <c r="E397" s="46" t="s">
        <v>95</v>
      </c>
      <c r="F397" s="46">
        <v>4</v>
      </c>
      <c r="G397" s="48">
        <v>15000</v>
      </c>
      <c r="H397" s="46" t="s">
        <v>332</v>
      </c>
      <c r="I397" s="46">
        <v>1</v>
      </c>
      <c r="J397" s="46">
        <v>1</v>
      </c>
      <c r="K397" s="49" t="s">
        <v>343</v>
      </c>
      <c r="L397" s="49" t="s">
        <v>40</v>
      </c>
      <c r="M397" s="49" t="s">
        <v>35</v>
      </c>
      <c r="N397" s="49" t="s">
        <v>513</v>
      </c>
      <c r="O397" s="49"/>
      <c r="P397" s="49" t="s">
        <v>31</v>
      </c>
      <c r="Q397" s="49" t="s">
        <v>29</v>
      </c>
      <c r="R397" s="49">
        <v>1</v>
      </c>
      <c r="S397" s="50">
        <f t="shared" si="193"/>
        <v>100</v>
      </c>
      <c r="T397" s="49">
        <v>0</v>
      </c>
      <c r="U397" s="50">
        <f t="shared" si="194"/>
        <v>0</v>
      </c>
      <c r="V397" s="45"/>
      <c r="W397" s="49">
        <v>0</v>
      </c>
      <c r="X397" s="50">
        <f t="shared" si="195"/>
        <v>0</v>
      </c>
      <c r="Y397" s="51" t="str">
        <f t="shared" si="196"/>
        <v>No</v>
      </c>
      <c r="Z397" s="49" t="s">
        <v>29</v>
      </c>
      <c r="AA397" s="49" t="s">
        <v>29</v>
      </c>
      <c r="AB397" s="45" t="s">
        <v>35</v>
      </c>
      <c r="AC397" s="46" t="s">
        <v>72</v>
      </c>
      <c r="AD397" s="46" t="s">
        <v>27</v>
      </c>
      <c r="AE397" s="46" t="s">
        <v>73</v>
      </c>
      <c r="AF397" s="46" t="s">
        <v>29</v>
      </c>
      <c r="AG397" s="103">
        <v>23494</v>
      </c>
      <c r="AH397" s="52">
        <v>17485</v>
      </c>
      <c r="AI397" s="52">
        <v>17485</v>
      </c>
      <c r="AJ397" s="102">
        <v>97.2</v>
      </c>
      <c r="AK397" s="104">
        <v>194.4</v>
      </c>
      <c r="AL397" s="102">
        <v>97.2</v>
      </c>
      <c r="AM397" s="102"/>
      <c r="AN397" s="53">
        <f t="shared" si="197"/>
        <v>194.4</v>
      </c>
      <c r="AO397" s="53" t="s">
        <v>23</v>
      </c>
      <c r="AP397" s="102">
        <v>5780</v>
      </c>
      <c r="AQ397" s="108">
        <v>24.602026049204049</v>
      </c>
      <c r="AR397" s="102"/>
      <c r="AS397" s="102"/>
      <c r="AT397" s="102"/>
      <c r="AU397" s="102"/>
      <c r="AV397" s="102"/>
      <c r="AW397" s="102"/>
      <c r="AX397" s="102"/>
      <c r="AY397" s="102"/>
      <c r="AZ397" s="102"/>
      <c r="BA397" s="102"/>
      <c r="BB397" s="102"/>
      <c r="BC397" s="102"/>
      <c r="BD397" s="102"/>
      <c r="BE397" s="102"/>
      <c r="BF397" s="102"/>
      <c r="BG397" s="102"/>
      <c r="BH397" s="102"/>
      <c r="BI397" s="102"/>
      <c r="BJ397" s="102"/>
      <c r="BK397" s="102"/>
      <c r="BL397" s="102"/>
      <c r="BM397" s="102"/>
      <c r="BN397" s="102"/>
      <c r="BO397" s="102"/>
      <c r="BP397" s="102"/>
      <c r="BQ397" s="102"/>
      <c r="BR397" s="102"/>
      <c r="BS397" s="54" t="s">
        <v>23</v>
      </c>
      <c r="BT397" s="45" t="str">
        <f t="shared" ref="BT397:BT428" si="202">IF(J397=I397, "No", IF(AJ397/AO397&lt;2, "Yes", "No"))</f>
        <v>No</v>
      </c>
      <c r="BU397" s="45" t="str">
        <f t="shared" ref="BU397:BU428" si="203">IF(J397=I397, "No", IF(AJ397/AO397&lt;1.5, "Yes", "No"))</f>
        <v>No</v>
      </c>
      <c r="BV397" s="45" t="str">
        <f t="shared" ref="BV397:BV428" si="204">IF(J397=I397, "No", IF((ABS(AJ397-AO397))&lt;(5/I397), "Yes", "No"))</f>
        <v>No</v>
      </c>
      <c r="BW397" s="55">
        <f t="shared" si="201"/>
        <v>76.926233389097561</v>
      </c>
      <c r="BX397" s="55"/>
      <c r="BY397" s="55">
        <v>73.29123338909757</v>
      </c>
      <c r="BZ397" s="55"/>
      <c r="CA397" s="45">
        <v>2008</v>
      </c>
      <c r="CB397" s="55">
        <f t="shared" si="199"/>
        <v>31.788019270975365</v>
      </c>
      <c r="CC397" s="46" t="s">
        <v>334</v>
      </c>
      <c r="CD397" s="46" t="s">
        <v>71</v>
      </c>
      <c r="CE397" s="46" t="s">
        <v>783</v>
      </c>
      <c r="CF397" s="46">
        <v>1</v>
      </c>
      <c r="CG397" s="46" t="str">
        <f t="shared" si="198"/>
        <v>No</v>
      </c>
      <c r="CH397" s="46" t="s">
        <v>35</v>
      </c>
      <c r="CI397" s="56">
        <v>0</v>
      </c>
      <c r="CJ397" s="46">
        <v>20</v>
      </c>
      <c r="CK397" s="46" t="s">
        <v>23</v>
      </c>
      <c r="CL397" s="49" t="s">
        <v>29</v>
      </c>
      <c r="CM397" s="50">
        <v>0</v>
      </c>
      <c r="CN397" s="50"/>
      <c r="CO397" s="50"/>
      <c r="CP397" s="46" t="s">
        <v>35</v>
      </c>
      <c r="CQ397" s="46" t="s">
        <v>24</v>
      </c>
      <c r="CR397" s="46">
        <v>7</v>
      </c>
      <c r="CS397" s="46" t="s">
        <v>854</v>
      </c>
      <c r="CT397" s="46" t="s">
        <v>53</v>
      </c>
      <c r="CU397" s="46" t="s">
        <v>74</v>
      </c>
      <c r="CV397" s="46">
        <v>0</v>
      </c>
      <c r="CW397" s="46">
        <v>1</v>
      </c>
      <c r="CX397" s="49" t="s">
        <v>745</v>
      </c>
      <c r="CY397" s="49" t="s">
        <v>36</v>
      </c>
      <c r="CZ397" s="49">
        <v>0</v>
      </c>
      <c r="DA397" s="49">
        <v>1</v>
      </c>
      <c r="DB397" s="64">
        <v>55005</v>
      </c>
      <c r="DC397" s="58">
        <v>34.56</v>
      </c>
      <c r="DD397" s="58">
        <v>15</v>
      </c>
      <c r="DE397" s="58">
        <v>18.88</v>
      </c>
      <c r="DF397" s="58">
        <v>26.619999999999997</v>
      </c>
      <c r="DG397" s="58">
        <v>4.9399999999999995</v>
      </c>
      <c r="DH397" s="58">
        <v>65.44</v>
      </c>
      <c r="DI397" s="45" t="s">
        <v>35</v>
      </c>
      <c r="DJ397" s="59" t="str">
        <f t="shared" si="200"/>
        <v>No single majority group</v>
      </c>
      <c r="DK397" s="65">
        <v>11230</v>
      </c>
      <c r="DL397" s="58">
        <v>52.14</v>
      </c>
      <c r="DM397" s="58">
        <v>8</v>
      </c>
      <c r="DN397" s="58">
        <v>9.49</v>
      </c>
      <c r="DO397" s="58">
        <v>69.41</v>
      </c>
      <c r="DP397" s="66">
        <v>51.2</v>
      </c>
      <c r="DQ397" s="67">
        <v>64129.71</v>
      </c>
      <c r="DR397" s="53">
        <v>8.5</v>
      </c>
      <c r="DS397" s="58">
        <v>77.400000000000006</v>
      </c>
      <c r="DT397" s="53">
        <v>56.5</v>
      </c>
      <c r="DU397" s="55">
        <v>2.79</v>
      </c>
      <c r="DV397" s="50">
        <v>38.6</v>
      </c>
      <c r="DW397" s="53">
        <v>81.7</v>
      </c>
      <c r="DX397" s="53">
        <v>84.48</v>
      </c>
      <c r="DY397" s="53">
        <v>50.434899999999999</v>
      </c>
      <c r="DZ397" s="63"/>
    </row>
    <row r="398" spans="1:130" s="5" customFormat="1" ht="14.25" hidden="1" customHeight="1">
      <c r="A398" s="45">
        <v>1357</v>
      </c>
      <c r="B398" s="46" t="s">
        <v>331</v>
      </c>
      <c r="C398" s="47">
        <v>2010</v>
      </c>
      <c r="D398" s="47" t="s">
        <v>97</v>
      </c>
      <c r="E398" s="46" t="s">
        <v>98</v>
      </c>
      <c r="F398" s="46">
        <v>4</v>
      </c>
      <c r="G398" s="48">
        <v>15000</v>
      </c>
      <c r="H398" s="46" t="s">
        <v>332</v>
      </c>
      <c r="I398" s="46">
        <v>1</v>
      </c>
      <c r="J398" s="46">
        <v>2</v>
      </c>
      <c r="K398" s="49" t="s">
        <v>333</v>
      </c>
      <c r="L398" s="49" t="s">
        <v>40</v>
      </c>
      <c r="M398" s="49" t="s">
        <v>35</v>
      </c>
      <c r="N398" s="49" t="s">
        <v>512</v>
      </c>
      <c r="O398" s="49"/>
      <c r="P398" s="49" t="s">
        <v>31</v>
      </c>
      <c r="Q398" s="49" t="s">
        <v>29</v>
      </c>
      <c r="R398" s="49">
        <v>2</v>
      </c>
      <c r="S398" s="50">
        <f t="shared" si="193"/>
        <v>100</v>
      </c>
      <c r="T398" s="49">
        <v>1</v>
      </c>
      <c r="U398" s="50">
        <f t="shared" si="194"/>
        <v>50</v>
      </c>
      <c r="V398" s="49" t="s">
        <v>789</v>
      </c>
      <c r="W398" s="49">
        <v>1</v>
      </c>
      <c r="X398" s="50">
        <f t="shared" si="195"/>
        <v>50</v>
      </c>
      <c r="Y398" s="51" t="str">
        <f t="shared" si="196"/>
        <v>No</v>
      </c>
      <c r="Z398" s="49" t="s">
        <v>35</v>
      </c>
      <c r="AA398" s="49" t="s">
        <v>23</v>
      </c>
      <c r="AB398" s="49" t="s">
        <v>23</v>
      </c>
      <c r="AC398" s="46" t="s">
        <v>72</v>
      </c>
      <c r="AD398" s="46" t="s">
        <v>27</v>
      </c>
      <c r="AE398" s="46" t="s">
        <v>73</v>
      </c>
      <c r="AF398" s="46" t="s">
        <v>29</v>
      </c>
      <c r="AG398" s="103">
        <v>23494</v>
      </c>
      <c r="AH398" s="52">
        <v>20145</v>
      </c>
      <c r="AI398" s="52">
        <v>20145</v>
      </c>
      <c r="AJ398" s="102">
        <v>53.21</v>
      </c>
      <c r="AK398" s="104">
        <v>106.42</v>
      </c>
      <c r="AL398" s="102">
        <v>53.21</v>
      </c>
      <c r="AM398" s="102"/>
      <c r="AN398" s="53">
        <f t="shared" si="197"/>
        <v>106.42</v>
      </c>
      <c r="AO398" s="53">
        <v>45.74</v>
      </c>
      <c r="AP398" s="102">
        <v>3161</v>
      </c>
      <c r="AQ398" s="108">
        <v>13.454499021026646</v>
      </c>
      <c r="AR398" s="102"/>
      <c r="AS398" s="102"/>
      <c r="AT398" s="102"/>
      <c r="AU398" s="102"/>
      <c r="AV398" s="102"/>
      <c r="AW398" s="102"/>
      <c r="AX398" s="102"/>
      <c r="AY398" s="102"/>
      <c r="AZ398" s="102"/>
      <c r="BA398" s="102"/>
      <c r="BB398" s="102"/>
      <c r="BC398" s="102"/>
      <c r="BD398" s="102"/>
      <c r="BE398" s="102"/>
      <c r="BF398" s="102"/>
      <c r="BG398" s="102"/>
      <c r="BH398" s="102"/>
      <c r="BI398" s="102"/>
      <c r="BJ398" s="102"/>
      <c r="BK398" s="102"/>
      <c r="BL398" s="102"/>
      <c r="BM398" s="102"/>
      <c r="BN398" s="102"/>
      <c r="BO398" s="102"/>
      <c r="BP398" s="102"/>
      <c r="BQ398" s="102"/>
      <c r="BR398" s="102"/>
      <c r="BS398" s="54" t="s">
        <v>29</v>
      </c>
      <c r="BT398" s="45" t="str">
        <f t="shared" si="202"/>
        <v>Yes</v>
      </c>
      <c r="BU398" s="45" t="str">
        <f t="shared" si="203"/>
        <v>Yes</v>
      </c>
      <c r="BV398" s="45" t="str">
        <f t="shared" si="204"/>
        <v>No</v>
      </c>
      <c r="BW398" s="55">
        <f t="shared" si="201"/>
        <v>76.926233389097561</v>
      </c>
      <c r="BX398" s="55"/>
      <c r="BY398" s="55">
        <v>73.29123338909757</v>
      </c>
      <c r="BZ398" s="55"/>
      <c r="CA398" s="45">
        <v>2008</v>
      </c>
      <c r="CB398" s="55">
        <f t="shared" si="199"/>
        <v>36.623943277883832</v>
      </c>
      <c r="CC398" s="46" t="s">
        <v>334</v>
      </c>
      <c r="CD398" s="46" t="s">
        <v>71</v>
      </c>
      <c r="CE398" s="46" t="s">
        <v>783</v>
      </c>
      <c r="CF398" s="46">
        <v>1</v>
      </c>
      <c r="CG398" s="46" t="str">
        <f t="shared" si="198"/>
        <v>No</v>
      </c>
      <c r="CH398" s="46" t="s">
        <v>35</v>
      </c>
      <c r="CI398" s="56">
        <v>0</v>
      </c>
      <c r="CJ398" s="46">
        <v>20</v>
      </c>
      <c r="CK398" s="46" t="s">
        <v>23</v>
      </c>
      <c r="CL398" s="49" t="s">
        <v>29</v>
      </c>
      <c r="CM398" s="50">
        <v>0</v>
      </c>
      <c r="CN398" s="50"/>
      <c r="CO398" s="50"/>
      <c r="CP398" s="46" t="s">
        <v>35</v>
      </c>
      <c r="CQ398" s="46" t="s">
        <v>24</v>
      </c>
      <c r="CR398" s="46">
        <v>7</v>
      </c>
      <c r="CS398" s="46" t="s">
        <v>854</v>
      </c>
      <c r="CT398" s="46" t="s">
        <v>53</v>
      </c>
      <c r="CU398" s="46" t="s">
        <v>74</v>
      </c>
      <c r="CV398" s="46">
        <v>0</v>
      </c>
      <c r="CW398" s="46">
        <v>1</v>
      </c>
      <c r="CX398" s="49" t="s">
        <v>745</v>
      </c>
      <c r="CY398" s="49" t="s">
        <v>36</v>
      </c>
      <c r="CZ398" s="49">
        <v>0</v>
      </c>
      <c r="DA398" s="49">
        <v>1</v>
      </c>
      <c r="DB398" s="64">
        <v>55005</v>
      </c>
      <c r="DC398" s="58">
        <v>34.56</v>
      </c>
      <c r="DD398" s="58">
        <v>15</v>
      </c>
      <c r="DE398" s="58">
        <v>18.88</v>
      </c>
      <c r="DF398" s="58">
        <v>26.619999999999997</v>
      </c>
      <c r="DG398" s="58">
        <v>4.9399999999999995</v>
      </c>
      <c r="DH398" s="58">
        <v>65.44</v>
      </c>
      <c r="DI398" s="45" t="s">
        <v>35</v>
      </c>
      <c r="DJ398" s="59" t="str">
        <f t="shared" si="200"/>
        <v>No single majority group</v>
      </c>
      <c r="DK398" s="65">
        <v>9311</v>
      </c>
      <c r="DL398" s="58">
        <v>41.67</v>
      </c>
      <c r="DM398" s="58">
        <v>18.899999999999999</v>
      </c>
      <c r="DN398" s="58">
        <v>18.32</v>
      </c>
      <c r="DO398" s="58">
        <v>58.329999999999991</v>
      </c>
      <c r="DP398" s="66">
        <v>51.2</v>
      </c>
      <c r="DQ398" s="67">
        <v>64129.71</v>
      </c>
      <c r="DR398" s="53">
        <v>8.5</v>
      </c>
      <c r="DS398" s="58">
        <v>77.400000000000006</v>
      </c>
      <c r="DT398" s="53">
        <v>56.5</v>
      </c>
      <c r="DU398" s="55">
        <v>2.79</v>
      </c>
      <c r="DV398" s="50">
        <v>38.6</v>
      </c>
      <c r="DW398" s="53">
        <v>81.7</v>
      </c>
      <c r="DX398" s="53">
        <v>84.48</v>
      </c>
      <c r="DY398" s="53">
        <v>50.434899999999999</v>
      </c>
      <c r="DZ398" s="63"/>
    </row>
    <row r="399" spans="1:130" s="5" customFormat="1" ht="14.25" hidden="1" customHeight="1">
      <c r="A399" s="45">
        <v>1354</v>
      </c>
      <c r="B399" s="46" t="s">
        <v>331</v>
      </c>
      <c r="C399" s="47">
        <v>2010</v>
      </c>
      <c r="D399" s="47" t="s">
        <v>38</v>
      </c>
      <c r="E399" s="46" t="s">
        <v>22</v>
      </c>
      <c r="F399" s="46">
        <v>4</v>
      </c>
      <c r="G399" s="48">
        <v>35000</v>
      </c>
      <c r="H399" s="46" t="s">
        <v>332</v>
      </c>
      <c r="I399" s="46">
        <v>1</v>
      </c>
      <c r="J399" s="46">
        <v>6</v>
      </c>
      <c r="K399" s="49" t="s">
        <v>341</v>
      </c>
      <c r="L399" s="49" t="s">
        <v>30</v>
      </c>
      <c r="M399" s="49" t="s">
        <v>29</v>
      </c>
      <c r="N399" s="49" t="s">
        <v>618</v>
      </c>
      <c r="O399" s="49"/>
      <c r="P399" s="49" t="s">
        <v>31</v>
      </c>
      <c r="Q399" s="49" t="s">
        <v>29</v>
      </c>
      <c r="R399" s="49">
        <v>2</v>
      </c>
      <c r="S399" s="50">
        <f t="shared" si="193"/>
        <v>33.333333333333329</v>
      </c>
      <c r="T399" s="49">
        <v>1</v>
      </c>
      <c r="U399" s="50">
        <f t="shared" si="194"/>
        <v>16.666666666666664</v>
      </c>
      <c r="V399" s="49" t="s">
        <v>173</v>
      </c>
      <c r="W399" s="49">
        <v>0</v>
      </c>
      <c r="X399" s="50">
        <f t="shared" si="195"/>
        <v>0</v>
      </c>
      <c r="Y399" s="51" t="str">
        <f t="shared" si="196"/>
        <v>No</v>
      </c>
      <c r="Z399" s="49" t="s">
        <v>29</v>
      </c>
      <c r="AA399" s="49" t="s">
        <v>29</v>
      </c>
      <c r="AB399" s="49" t="s">
        <v>29</v>
      </c>
      <c r="AC399" s="46" t="s">
        <v>132</v>
      </c>
      <c r="AD399" s="46" t="s">
        <v>27</v>
      </c>
      <c r="AE399" s="46" t="s">
        <v>73</v>
      </c>
      <c r="AF399" s="46" t="s">
        <v>29</v>
      </c>
      <c r="AG399" s="103">
        <v>23494</v>
      </c>
      <c r="AH399" s="52">
        <v>22421</v>
      </c>
      <c r="AI399" s="52">
        <v>22421</v>
      </c>
      <c r="AJ399" s="102">
        <v>35.21</v>
      </c>
      <c r="AK399" s="104">
        <v>70.42</v>
      </c>
      <c r="AL399" s="102">
        <v>50.57</v>
      </c>
      <c r="AM399" s="102"/>
      <c r="AN399" s="53">
        <f t="shared" si="197"/>
        <v>101.14</v>
      </c>
      <c r="AO399" s="53">
        <v>35.479999999999997</v>
      </c>
      <c r="AP399" s="102">
        <v>955</v>
      </c>
      <c r="AQ399" s="108">
        <v>4.0648676257767944</v>
      </c>
      <c r="AR399" s="102"/>
      <c r="AS399" s="102"/>
      <c r="AT399" s="102"/>
      <c r="AU399" s="102"/>
      <c r="AV399" s="102">
        <v>19</v>
      </c>
      <c r="AW399" s="102">
        <v>0.1</v>
      </c>
      <c r="AX399" s="102"/>
      <c r="AY399" s="102"/>
      <c r="AZ399" s="102"/>
      <c r="BA399" s="102"/>
      <c r="BB399" s="102"/>
      <c r="BC399" s="102"/>
      <c r="BD399" s="102"/>
      <c r="BE399" s="102"/>
      <c r="BF399" s="102"/>
      <c r="BG399" s="102"/>
      <c r="BH399" s="102">
        <v>2217</v>
      </c>
      <c r="BI399" s="102">
        <v>9.8880513804023025</v>
      </c>
      <c r="BJ399" s="102">
        <v>0</v>
      </c>
      <c r="BK399" s="102">
        <v>0</v>
      </c>
      <c r="BL399" s="102">
        <v>1489</v>
      </c>
      <c r="BM399" s="102">
        <v>5.9</v>
      </c>
      <c r="BN399" s="102"/>
      <c r="BO399" s="102"/>
      <c r="BP399" s="102"/>
      <c r="BQ399" s="102"/>
      <c r="BR399" s="102" t="s">
        <v>967</v>
      </c>
      <c r="BS399" s="54" t="s">
        <v>35</v>
      </c>
      <c r="BT399" s="45" t="str">
        <f t="shared" si="202"/>
        <v>Yes</v>
      </c>
      <c r="BU399" s="45" t="str">
        <f t="shared" si="203"/>
        <v>Yes</v>
      </c>
      <c r="BV399" s="45" t="str">
        <f t="shared" si="204"/>
        <v>Yes</v>
      </c>
      <c r="BW399" s="55">
        <f t="shared" si="201"/>
        <v>76.926233389097561</v>
      </c>
      <c r="BX399" s="55">
        <f>(24371/(24371+7310))*100</f>
        <v>76.926233389097561</v>
      </c>
      <c r="BY399" s="55">
        <v>73.29123338909757</v>
      </c>
      <c r="BZ399" s="55">
        <f>BX399-(0.0727*100/2)</f>
        <v>73.291233389097556</v>
      </c>
      <c r="CA399" s="45">
        <v>2008</v>
      </c>
      <c r="CB399" s="55">
        <f t="shared" si="199"/>
        <v>40.761748931915278</v>
      </c>
      <c r="CC399" s="46" t="s">
        <v>490</v>
      </c>
      <c r="CD399" s="46" t="s">
        <v>71</v>
      </c>
      <c r="CE399" s="46" t="s">
        <v>783</v>
      </c>
      <c r="CF399" s="46">
        <v>1</v>
      </c>
      <c r="CG399" s="46" t="str">
        <f t="shared" si="198"/>
        <v>No</v>
      </c>
      <c r="CH399" s="46" t="s">
        <v>35</v>
      </c>
      <c r="CI399" s="56">
        <v>0</v>
      </c>
      <c r="CJ399" s="46">
        <v>20</v>
      </c>
      <c r="CK399" s="46" t="s">
        <v>23</v>
      </c>
      <c r="CL399" s="49" t="s">
        <v>29</v>
      </c>
      <c r="CM399" s="50">
        <v>0</v>
      </c>
      <c r="CN399" s="50">
        <v>238653.32000000004</v>
      </c>
      <c r="CO399" s="50" t="s">
        <v>29</v>
      </c>
      <c r="CP399" s="46" t="s">
        <v>23</v>
      </c>
      <c r="CQ399" s="46" t="s">
        <v>23</v>
      </c>
      <c r="CR399" s="46">
        <v>7</v>
      </c>
      <c r="CS399" s="46" t="s">
        <v>854</v>
      </c>
      <c r="CT399" s="46" t="s">
        <v>963</v>
      </c>
      <c r="CU399" s="46" t="s">
        <v>74</v>
      </c>
      <c r="CV399" s="46">
        <v>0</v>
      </c>
      <c r="CW399" s="46">
        <v>1</v>
      </c>
      <c r="CX399" s="49" t="s">
        <v>745</v>
      </c>
      <c r="CY399" s="49" t="s">
        <v>36</v>
      </c>
      <c r="CZ399" s="49">
        <v>0</v>
      </c>
      <c r="DA399" s="49">
        <v>1</v>
      </c>
      <c r="DB399" s="64">
        <v>55005</v>
      </c>
      <c r="DC399" s="58">
        <v>34.56</v>
      </c>
      <c r="DD399" s="58">
        <v>15</v>
      </c>
      <c r="DE399" s="58">
        <v>18.88</v>
      </c>
      <c r="DF399" s="58">
        <v>26.619999999999997</v>
      </c>
      <c r="DG399" s="58">
        <v>4.9399999999999995</v>
      </c>
      <c r="DH399" s="58">
        <v>65.44</v>
      </c>
      <c r="DI399" s="45" t="s">
        <v>35</v>
      </c>
      <c r="DJ399" s="59" t="str">
        <f t="shared" si="200"/>
        <v>No single majority group</v>
      </c>
      <c r="DK399" s="65">
        <v>55005</v>
      </c>
      <c r="DL399" s="58">
        <v>34.56</v>
      </c>
      <c r="DM399" s="58">
        <v>15</v>
      </c>
      <c r="DN399" s="58">
        <v>18.88</v>
      </c>
      <c r="DO399" s="58">
        <v>65.44</v>
      </c>
      <c r="DP399" s="66">
        <v>51.2</v>
      </c>
      <c r="DQ399" s="67">
        <v>64129.71</v>
      </c>
      <c r="DR399" s="53">
        <v>8.5</v>
      </c>
      <c r="DS399" s="58">
        <v>77.400000000000006</v>
      </c>
      <c r="DT399" s="53">
        <v>56.5</v>
      </c>
      <c r="DU399" s="55">
        <v>2.79</v>
      </c>
      <c r="DV399" s="102">
        <v>38.6</v>
      </c>
      <c r="DW399" s="53">
        <v>81.7</v>
      </c>
      <c r="DX399" s="53">
        <v>84.48</v>
      </c>
      <c r="DY399" s="53">
        <v>50.434899999999999</v>
      </c>
      <c r="DZ399" s="63"/>
    </row>
    <row r="400" spans="1:130" s="5" customFormat="1" ht="14.25" hidden="1" customHeight="1">
      <c r="A400" s="45">
        <v>1351</v>
      </c>
      <c r="B400" s="46" t="s">
        <v>331</v>
      </c>
      <c r="C400" s="47">
        <v>2012</v>
      </c>
      <c r="D400" s="47" t="s">
        <v>91</v>
      </c>
      <c r="E400" s="46" t="s">
        <v>92</v>
      </c>
      <c r="F400" s="46">
        <v>4</v>
      </c>
      <c r="G400" s="48">
        <v>15000</v>
      </c>
      <c r="H400" s="46" t="s">
        <v>332</v>
      </c>
      <c r="I400" s="46">
        <v>1</v>
      </c>
      <c r="J400" s="46">
        <v>3</v>
      </c>
      <c r="K400" s="49" t="s">
        <v>338</v>
      </c>
      <c r="L400" s="49" t="s">
        <v>40</v>
      </c>
      <c r="M400" s="49" t="s">
        <v>35</v>
      </c>
      <c r="N400" s="49" t="s">
        <v>512</v>
      </c>
      <c r="O400" s="49"/>
      <c r="P400" s="49" t="s">
        <v>201</v>
      </c>
      <c r="Q400" s="49" t="s">
        <v>35</v>
      </c>
      <c r="R400" s="49">
        <v>2</v>
      </c>
      <c r="S400" s="50">
        <f t="shared" si="193"/>
        <v>66.666666666666657</v>
      </c>
      <c r="T400" s="49">
        <v>1</v>
      </c>
      <c r="U400" s="50">
        <f t="shared" si="194"/>
        <v>33.333333333333329</v>
      </c>
      <c r="V400" s="49" t="s">
        <v>858</v>
      </c>
      <c r="W400" s="49">
        <v>1</v>
      </c>
      <c r="X400" s="50">
        <f t="shared" si="195"/>
        <v>33.333333333333329</v>
      </c>
      <c r="Y400" s="51" t="str">
        <f t="shared" si="196"/>
        <v>Yes</v>
      </c>
      <c r="Z400" s="49" t="s">
        <v>35</v>
      </c>
      <c r="AA400" s="49" t="s">
        <v>23</v>
      </c>
      <c r="AB400" s="49" t="s">
        <v>23</v>
      </c>
      <c r="AC400" s="46" t="s">
        <v>135</v>
      </c>
      <c r="AD400" s="46" t="s">
        <v>27</v>
      </c>
      <c r="AE400" s="46" t="s">
        <v>89</v>
      </c>
      <c r="AF400" s="46" t="s">
        <v>29</v>
      </c>
      <c r="AG400" s="103">
        <v>28703</v>
      </c>
      <c r="AH400" s="52">
        <v>25501</v>
      </c>
      <c r="AI400" s="52">
        <v>25501</v>
      </c>
      <c r="AJ400" s="102">
        <v>42.19</v>
      </c>
      <c r="AK400" s="104">
        <v>84.38</v>
      </c>
      <c r="AL400" s="102">
        <v>50.39</v>
      </c>
      <c r="AM400" s="102"/>
      <c r="AN400" s="53">
        <f t="shared" si="197"/>
        <v>100.78</v>
      </c>
      <c r="AO400" s="53">
        <v>38.020000000000003</v>
      </c>
      <c r="AP400" s="102">
        <v>3139</v>
      </c>
      <c r="AQ400" s="102">
        <v>10.9</v>
      </c>
      <c r="AR400" s="50">
        <v>248</v>
      </c>
      <c r="AS400" s="50">
        <v>1</v>
      </c>
      <c r="AT400" s="102"/>
      <c r="AU400" s="102"/>
      <c r="AV400" s="50">
        <v>19</v>
      </c>
      <c r="AW400" s="50">
        <v>0.1</v>
      </c>
      <c r="AX400" s="50">
        <v>6259</v>
      </c>
      <c r="AY400" s="50">
        <v>24.5</v>
      </c>
      <c r="AZ400" s="102"/>
      <c r="BA400" s="102"/>
      <c r="BB400" s="102"/>
      <c r="BC400" s="102"/>
      <c r="BD400" s="50">
        <v>105</v>
      </c>
      <c r="BE400" s="50">
        <v>0.4</v>
      </c>
      <c r="BF400" s="50">
        <v>6548</v>
      </c>
      <c r="BG400" s="50">
        <v>25.6</v>
      </c>
      <c r="BH400" s="102">
        <v>1489</v>
      </c>
      <c r="BI400" s="102">
        <v>5.9</v>
      </c>
      <c r="BJ400" s="50">
        <v>0</v>
      </c>
      <c r="BK400" s="50">
        <v>0</v>
      </c>
      <c r="BL400" s="50">
        <v>1489</v>
      </c>
      <c r="BM400" s="50">
        <v>5.9</v>
      </c>
      <c r="BN400" s="102"/>
      <c r="BO400" s="50"/>
      <c r="BP400" s="50"/>
      <c r="BQ400" s="50"/>
      <c r="BR400" s="102" t="s">
        <v>967</v>
      </c>
      <c r="BS400" s="54" t="s">
        <v>29</v>
      </c>
      <c r="BT400" s="45" t="str">
        <f t="shared" si="202"/>
        <v>Yes</v>
      </c>
      <c r="BU400" s="45" t="str">
        <f t="shared" si="203"/>
        <v>Yes</v>
      </c>
      <c r="BV400" s="45" t="str">
        <f t="shared" si="204"/>
        <v>Yes</v>
      </c>
      <c r="BW400" s="55">
        <f t="shared" ref="BW400:BW406" si="205">(23587/(23587+5802))*100</f>
        <v>80.257919629793463</v>
      </c>
      <c r="BX400" s="55"/>
      <c r="BY400" s="55">
        <v>78.327919629793456</v>
      </c>
      <c r="BZ400" s="55"/>
      <c r="CA400" s="45">
        <v>2012</v>
      </c>
      <c r="CB400" s="55">
        <f t="shared" si="199"/>
        <v>45.513117972514721</v>
      </c>
      <c r="CC400" s="46" t="s">
        <v>334</v>
      </c>
      <c r="CD400" s="46" t="s">
        <v>71</v>
      </c>
      <c r="CE400" s="46" t="s">
        <v>783</v>
      </c>
      <c r="CF400" s="46">
        <v>1</v>
      </c>
      <c r="CG400" s="46" t="str">
        <f t="shared" si="198"/>
        <v>No</v>
      </c>
      <c r="CH400" s="46" t="s">
        <v>35</v>
      </c>
      <c r="CI400" s="56">
        <v>0</v>
      </c>
      <c r="CJ400" s="46">
        <v>20</v>
      </c>
      <c r="CK400" s="46" t="s">
        <v>23</v>
      </c>
      <c r="CL400" s="49" t="s">
        <v>29</v>
      </c>
      <c r="CM400" s="50">
        <v>0</v>
      </c>
      <c r="CN400" s="50"/>
      <c r="CO400" s="50"/>
      <c r="CP400" s="46" t="s">
        <v>35</v>
      </c>
      <c r="CQ400" s="46" t="s">
        <v>24</v>
      </c>
      <c r="CR400" s="46">
        <v>7</v>
      </c>
      <c r="CS400" s="46" t="s">
        <v>854</v>
      </c>
      <c r="CT400" s="46" t="s">
        <v>53</v>
      </c>
      <c r="CU400" s="46" t="s">
        <v>74</v>
      </c>
      <c r="CV400" s="46">
        <v>0</v>
      </c>
      <c r="CW400" s="46">
        <v>1</v>
      </c>
      <c r="CX400" s="49" t="s">
        <v>562</v>
      </c>
      <c r="CY400" s="49" t="s">
        <v>36</v>
      </c>
      <c r="CZ400" s="49">
        <v>1</v>
      </c>
      <c r="DA400" s="49">
        <v>1</v>
      </c>
      <c r="DB400" s="64">
        <v>56030</v>
      </c>
      <c r="DC400" s="58">
        <v>32.196969696969695</v>
      </c>
      <c r="DD400" s="58">
        <v>12.676180408738549</v>
      </c>
      <c r="DE400" s="58">
        <v>19.688160676532771</v>
      </c>
      <c r="DF400" s="58">
        <v>30.602536997885839</v>
      </c>
      <c r="DG400" s="58">
        <v>4.8361522198731466</v>
      </c>
      <c r="DH400" s="58">
        <v>67.803030303030297</v>
      </c>
      <c r="DI400" s="45" t="s">
        <v>35</v>
      </c>
      <c r="DJ400" s="59" t="str">
        <f t="shared" si="200"/>
        <v>No single majority group</v>
      </c>
      <c r="DK400" s="65">
        <v>8416</v>
      </c>
      <c r="DL400" s="58">
        <v>28.62</v>
      </c>
      <c r="DM400" s="58">
        <v>14.799999999999999</v>
      </c>
      <c r="DN400" s="58">
        <v>22.009999999999998</v>
      </c>
      <c r="DO400" s="58">
        <v>71.38</v>
      </c>
      <c r="DP400" s="66">
        <v>51.1</v>
      </c>
      <c r="DQ400" s="67">
        <v>64279</v>
      </c>
      <c r="DR400" s="53">
        <v>11</v>
      </c>
      <c r="DS400" s="58">
        <v>76.099999999999994</v>
      </c>
      <c r="DT400" s="53">
        <v>55.4</v>
      </c>
      <c r="DU400" s="55">
        <v>2.77</v>
      </c>
      <c r="DV400" s="102">
        <v>40</v>
      </c>
      <c r="DW400" s="53">
        <v>82.2</v>
      </c>
      <c r="DX400" s="53">
        <v>90.62</v>
      </c>
      <c r="DY400" s="53">
        <v>49.712499999999999</v>
      </c>
      <c r="DZ400" s="63"/>
    </row>
    <row r="401" spans="1:130" s="5" customFormat="1" ht="14.25" hidden="1" customHeight="1">
      <c r="A401" s="45">
        <v>1352</v>
      </c>
      <c r="B401" s="46" t="s">
        <v>331</v>
      </c>
      <c r="C401" s="47">
        <v>2012</v>
      </c>
      <c r="D401" s="47" t="s">
        <v>79</v>
      </c>
      <c r="E401" s="46" t="s">
        <v>80</v>
      </c>
      <c r="F401" s="46">
        <v>4</v>
      </c>
      <c r="G401" s="48">
        <v>15000</v>
      </c>
      <c r="H401" s="46" t="s">
        <v>332</v>
      </c>
      <c r="I401" s="46">
        <v>1</v>
      </c>
      <c r="J401" s="46">
        <v>4</v>
      </c>
      <c r="K401" s="49" t="s">
        <v>339</v>
      </c>
      <c r="L401" s="49" t="s">
        <v>30</v>
      </c>
      <c r="M401" s="49" t="s">
        <v>29</v>
      </c>
      <c r="N401" s="49" t="s">
        <v>512</v>
      </c>
      <c r="O401" s="49"/>
      <c r="P401" s="49" t="s">
        <v>34</v>
      </c>
      <c r="Q401" s="49" t="s">
        <v>35</v>
      </c>
      <c r="R401" s="49">
        <v>1</v>
      </c>
      <c r="S401" s="50">
        <f t="shared" si="193"/>
        <v>25</v>
      </c>
      <c r="T401" s="49">
        <v>2</v>
      </c>
      <c r="U401" s="50">
        <f t="shared" si="194"/>
        <v>50</v>
      </c>
      <c r="V401" s="49" t="s">
        <v>891</v>
      </c>
      <c r="W401" s="49">
        <v>1</v>
      </c>
      <c r="X401" s="50">
        <f t="shared" si="195"/>
        <v>25</v>
      </c>
      <c r="Y401" s="51" t="str">
        <f t="shared" si="196"/>
        <v>No</v>
      </c>
      <c r="Z401" s="49" t="s">
        <v>35</v>
      </c>
      <c r="AA401" s="49" t="s">
        <v>23</v>
      </c>
      <c r="AB401" s="49" t="s">
        <v>23</v>
      </c>
      <c r="AC401" s="46" t="s">
        <v>87</v>
      </c>
      <c r="AD401" s="46" t="s">
        <v>27</v>
      </c>
      <c r="AE401" s="46" t="s">
        <v>89</v>
      </c>
      <c r="AF401" s="46" t="s">
        <v>29</v>
      </c>
      <c r="AG401" s="103">
        <v>28703</v>
      </c>
      <c r="AH401" s="52">
        <v>23280</v>
      </c>
      <c r="AI401" s="52">
        <v>23280</v>
      </c>
      <c r="AJ401" s="102">
        <v>44.15</v>
      </c>
      <c r="AK401" s="104">
        <v>88.3</v>
      </c>
      <c r="AL401" s="102">
        <v>60.99</v>
      </c>
      <c r="AM401" s="102"/>
      <c r="AN401" s="53">
        <f t="shared" si="197"/>
        <v>121.98</v>
      </c>
      <c r="AO401" s="53">
        <v>24.44</v>
      </c>
      <c r="AP401" s="102">
        <v>5344</v>
      </c>
      <c r="AQ401" s="102">
        <v>18.600000000000001</v>
      </c>
      <c r="AR401" s="50">
        <v>183</v>
      </c>
      <c r="AS401" s="50">
        <v>0.8</v>
      </c>
      <c r="AT401" s="102"/>
      <c r="AU401" s="102"/>
      <c r="AV401" s="102">
        <v>31</v>
      </c>
      <c r="AW401" s="102">
        <v>0.1</v>
      </c>
      <c r="AX401" s="50">
        <v>4978</v>
      </c>
      <c r="AY401" s="50">
        <v>21.3</v>
      </c>
      <c r="AZ401" s="102"/>
      <c r="BA401" s="102"/>
      <c r="BB401" s="102"/>
      <c r="BC401" s="102"/>
      <c r="BD401" s="50">
        <v>115</v>
      </c>
      <c r="BE401" s="50">
        <v>0.5</v>
      </c>
      <c r="BF401" s="50">
        <v>5235</v>
      </c>
      <c r="BG401" s="50">
        <v>22.4</v>
      </c>
      <c r="BH401" s="102">
        <v>2018</v>
      </c>
      <c r="BI401" s="102">
        <v>8.6999999999999993</v>
      </c>
      <c r="BJ401" s="102">
        <v>23</v>
      </c>
      <c r="BK401" s="102">
        <v>0.1</v>
      </c>
      <c r="BL401" s="102">
        <v>1995</v>
      </c>
      <c r="BM401" s="102">
        <v>8.6</v>
      </c>
      <c r="BN401" s="102"/>
      <c r="BO401" s="50"/>
      <c r="BP401" s="50"/>
      <c r="BQ401" s="50"/>
      <c r="BR401" s="102" t="s">
        <v>967</v>
      </c>
      <c r="BS401" s="54" t="s">
        <v>29</v>
      </c>
      <c r="BT401" s="45" t="str">
        <f t="shared" si="202"/>
        <v>Yes</v>
      </c>
      <c r="BU401" s="45" t="str">
        <f t="shared" si="203"/>
        <v>No</v>
      </c>
      <c r="BV401" s="45" t="str">
        <f t="shared" si="204"/>
        <v>No</v>
      </c>
      <c r="BW401" s="55">
        <f t="shared" si="205"/>
        <v>80.257919629793463</v>
      </c>
      <c r="BX401" s="55"/>
      <c r="BY401" s="55">
        <v>78.327919629793456</v>
      </c>
      <c r="BZ401" s="55"/>
      <c r="CA401" s="45">
        <v>2012</v>
      </c>
      <c r="CB401" s="55">
        <f t="shared" si="199"/>
        <v>41.549170087453149</v>
      </c>
      <c r="CC401" s="46" t="s">
        <v>334</v>
      </c>
      <c r="CD401" s="46" t="s">
        <v>71</v>
      </c>
      <c r="CE401" s="46" t="s">
        <v>783</v>
      </c>
      <c r="CF401" s="46">
        <v>1</v>
      </c>
      <c r="CG401" s="46" t="str">
        <f t="shared" si="198"/>
        <v>No</v>
      </c>
      <c r="CH401" s="46" t="s">
        <v>35</v>
      </c>
      <c r="CI401" s="56">
        <v>0</v>
      </c>
      <c r="CJ401" s="46">
        <v>20</v>
      </c>
      <c r="CK401" s="46" t="s">
        <v>23</v>
      </c>
      <c r="CL401" s="49" t="s">
        <v>29</v>
      </c>
      <c r="CM401" s="50">
        <v>0</v>
      </c>
      <c r="CN401" s="50"/>
      <c r="CO401" s="50"/>
      <c r="CP401" s="46" t="s">
        <v>35</v>
      </c>
      <c r="CQ401" s="46" t="s">
        <v>24</v>
      </c>
      <c r="CR401" s="46">
        <v>7</v>
      </c>
      <c r="CS401" s="46" t="s">
        <v>854</v>
      </c>
      <c r="CT401" s="46" t="s">
        <v>53</v>
      </c>
      <c r="CU401" s="46" t="s">
        <v>74</v>
      </c>
      <c r="CV401" s="46">
        <v>0</v>
      </c>
      <c r="CW401" s="46">
        <v>1</v>
      </c>
      <c r="CX401" s="49" t="s">
        <v>562</v>
      </c>
      <c r="CY401" s="49" t="s">
        <v>36</v>
      </c>
      <c r="CZ401" s="49">
        <v>1</v>
      </c>
      <c r="DA401" s="49">
        <v>1</v>
      </c>
      <c r="DB401" s="64">
        <v>56030</v>
      </c>
      <c r="DC401" s="58">
        <v>32.196969696969695</v>
      </c>
      <c r="DD401" s="58">
        <v>12.676180408738549</v>
      </c>
      <c r="DE401" s="58">
        <v>19.688160676532771</v>
      </c>
      <c r="DF401" s="58">
        <v>30.602536997885839</v>
      </c>
      <c r="DG401" s="58">
        <v>4.8361522198731466</v>
      </c>
      <c r="DH401" s="58">
        <v>67.803030303030297</v>
      </c>
      <c r="DI401" s="45" t="s">
        <v>35</v>
      </c>
      <c r="DJ401" s="59" t="str">
        <f t="shared" si="200"/>
        <v>No single majority group</v>
      </c>
      <c r="DK401" s="65">
        <v>11550</v>
      </c>
      <c r="DL401" s="58">
        <v>48.78</v>
      </c>
      <c r="DM401" s="58">
        <v>6.5699999999999994</v>
      </c>
      <c r="DN401" s="58">
        <v>10.93</v>
      </c>
      <c r="DO401" s="58">
        <v>65.84</v>
      </c>
      <c r="DP401" s="66">
        <v>51.1</v>
      </c>
      <c r="DQ401" s="67">
        <v>64279</v>
      </c>
      <c r="DR401" s="53">
        <v>11</v>
      </c>
      <c r="DS401" s="58">
        <v>76.099999999999994</v>
      </c>
      <c r="DT401" s="53">
        <v>55.4</v>
      </c>
      <c r="DU401" s="55">
        <v>2.77</v>
      </c>
      <c r="DV401" s="50">
        <v>40</v>
      </c>
      <c r="DW401" s="53">
        <v>82.2</v>
      </c>
      <c r="DX401" s="53">
        <v>90.62</v>
      </c>
      <c r="DY401" s="53">
        <v>49.712499999999999</v>
      </c>
      <c r="DZ401" s="63"/>
    </row>
    <row r="402" spans="1:130" s="5" customFormat="1" ht="14.25" hidden="1" customHeight="1">
      <c r="A402" s="45">
        <v>1353</v>
      </c>
      <c r="B402" s="46" t="s">
        <v>331</v>
      </c>
      <c r="C402" s="47">
        <v>2012</v>
      </c>
      <c r="D402" s="47" t="s">
        <v>100</v>
      </c>
      <c r="E402" s="71" t="s">
        <v>101</v>
      </c>
      <c r="F402" s="46">
        <v>4</v>
      </c>
      <c r="G402" s="48">
        <v>15000</v>
      </c>
      <c r="H402" s="46" t="s">
        <v>332</v>
      </c>
      <c r="I402" s="46">
        <v>1</v>
      </c>
      <c r="J402" s="46">
        <v>2</v>
      </c>
      <c r="K402" s="49" t="s">
        <v>340</v>
      </c>
      <c r="L402" s="49" t="s">
        <v>30</v>
      </c>
      <c r="M402" s="49" t="s">
        <v>29</v>
      </c>
      <c r="N402" s="49" t="s">
        <v>513</v>
      </c>
      <c r="O402" s="49"/>
      <c r="P402" s="49" t="s">
        <v>31</v>
      </c>
      <c r="Q402" s="49" t="s">
        <v>29</v>
      </c>
      <c r="R402" s="49">
        <v>0</v>
      </c>
      <c r="S402" s="50">
        <f t="shared" si="193"/>
        <v>0</v>
      </c>
      <c r="T402" s="49">
        <v>1</v>
      </c>
      <c r="U402" s="50">
        <f t="shared" si="194"/>
        <v>50</v>
      </c>
      <c r="V402" s="49" t="s">
        <v>173</v>
      </c>
      <c r="W402" s="49">
        <v>0</v>
      </c>
      <c r="X402" s="50">
        <f t="shared" si="195"/>
        <v>0</v>
      </c>
      <c r="Y402" s="51" t="str">
        <f t="shared" si="196"/>
        <v>No</v>
      </c>
      <c r="Z402" s="49" t="s">
        <v>29</v>
      </c>
      <c r="AA402" s="49" t="s">
        <v>29</v>
      </c>
      <c r="AB402" s="49" t="s">
        <v>29</v>
      </c>
      <c r="AC402" s="46" t="s">
        <v>72</v>
      </c>
      <c r="AD402" s="46" t="s">
        <v>27</v>
      </c>
      <c r="AE402" s="46" t="s">
        <v>89</v>
      </c>
      <c r="AF402" s="46" t="s">
        <v>29</v>
      </c>
      <c r="AG402" s="103">
        <v>28703</v>
      </c>
      <c r="AH402" s="52">
        <v>23676</v>
      </c>
      <c r="AI402" s="52">
        <v>23676</v>
      </c>
      <c r="AJ402" s="102">
        <v>54.37</v>
      </c>
      <c r="AK402" s="104">
        <v>108.74</v>
      </c>
      <c r="AL402" s="102">
        <v>54.37</v>
      </c>
      <c r="AM402" s="102"/>
      <c r="AN402" s="53">
        <f t="shared" si="197"/>
        <v>108.74</v>
      </c>
      <c r="AO402" s="53">
        <v>44.53</v>
      </c>
      <c r="AP402" s="102">
        <v>4946</v>
      </c>
      <c r="AQ402" s="102">
        <v>17.2</v>
      </c>
      <c r="AR402" s="50">
        <v>118</v>
      </c>
      <c r="AS402" s="50">
        <v>0.5</v>
      </c>
      <c r="AT402" s="102"/>
      <c r="AU402" s="102"/>
      <c r="AV402" s="50"/>
      <c r="AW402" s="50"/>
      <c r="AX402" s="50">
        <v>10955</v>
      </c>
      <c r="AY402" s="50">
        <v>46.1</v>
      </c>
      <c r="AZ402" s="102"/>
      <c r="BA402" s="102"/>
      <c r="BB402" s="102"/>
      <c r="BC402" s="102"/>
      <c r="BD402" s="50">
        <v>187</v>
      </c>
      <c r="BE402" s="50">
        <v>0.8</v>
      </c>
      <c r="BF402" s="50">
        <v>11172</v>
      </c>
      <c r="BG402" s="50">
        <v>47</v>
      </c>
      <c r="BH402" s="102"/>
      <c r="BI402" s="102"/>
      <c r="BJ402" s="50"/>
      <c r="BK402" s="50"/>
      <c r="BL402" s="50"/>
      <c r="BM402" s="50"/>
      <c r="BN402" s="102"/>
      <c r="BO402" s="50"/>
      <c r="BP402" s="50"/>
      <c r="BQ402" s="50"/>
      <c r="BR402" s="102" t="s">
        <v>967</v>
      </c>
      <c r="BS402" s="54" t="s">
        <v>29</v>
      </c>
      <c r="BT402" s="45" t="str">
        <f t="shared" si="202"/>
        <v>Yes</v>
      </c>
      <c r="BU402" s="45" t="str">
        <f t="shared" si="203"/>
        <v>Yes</v>
      </c>
      <c r="BV402" s="45" t="str">
        <f t="shared" si="204"/>
        <v>No</v>
      </c>
      <c r="BW402" s="55">
        <f t="shared" si="205"/>
        <v>80.257919629793463</v>
      </c>
      <c r="BX402" s="55"/>
      <c r="BY402" s="55">
        <v>78.327919629793456</v>
      </c>
      <c r="BZ402" s="55"/>
      <c r="CA402" s="45">
        <v>2012</v>
      </c>
      <c r="CB402" s="55">
        <f t="shared" si="199"/>
        <v>42.25593432089952</v>
      </c>
      <c r="CC402" s="46" t="s">
        <v>334</v>
      </c>
      <c r="CD402" s="46" t="s">
        <v>71</v>
      </c>
      <c r="CE402" s="46" t="s">
        <v>783</v>
      </c>
      <c r="CF402" s="46">
        <v>1</v>
      </c>
      <c r="CG402" s="46" t="str">
        <f t="shared" si="198"/>
        <v>No</v>
      </c>
      <c r="CH402" s="46" t="s">
        <v>35</v>
      </c>
      <c r="CI402" s="56">
        <v>0</v>
      </c>
      <c r="CJ402" s="46">
        <v>20</v>
      </c>
      <c r="CK402" s="46" t="s">
        <v>23</v>
      </c>
      <c r="CL402" s="49" t="s">
        <v>29</v>
      </c>
      <c r="CM402" s="50">
        <v>0</v>
      </c>
      <c r="CN402" s="50"/>
      <c r="CO402" s="50"/>
      <c r="CP402" s="46" t="s">
        <v>35</v>
      </c>
      <c r="CQ402" s="46" t="s">
        <v>24</v>
      </c>
      <c r="CR402" s="46">
        <v>7</v>
      </c>
      <c r="CS402" s="46" t="s">
        <v>854</v>
      </c>
      <c r="CT402" s="46" t="s">
        <v>53</v>
      </c>
      <c r="CU402" s="46" t="s">
        <v>74</v>
      </c>
      <c r="CV402" s="46">
        <v>0</v>
      </c>
      <c r="CW402" s="46">
        <v>1</v>
      </c>
      <c r="CX402" s="49" t="s">
        <v>562</v>
      </c>
      <c r="CY402" s="49" t="s">
        <v>36</v>
      </c>
      <c r="CZ402" s="49">
        <v>1</v>
      </c>
      <c r="DA402" s="49">
        <v>1</v>
      </c>
      <c r="DB402" s="64">
        <v>56030</v>
      </c>
      <c r="DC402" s="58">
        <v>32.196969696969695</v>
      </c>
      <c r="DD402" s="58">
        <v>12.676180408738549</v>
      </c>
      <c r="DE402" s="58">
        <v>19.688160676532771</v>
      </c>
      <c r="DF402" s="58">
        <v>30.602536997885839</v>
      </c>
      <c r="DG402" s="58">
        <v>4.8361522198731466</v>
      </c>
      <c r="DH402" s="58">
        <v>67.803030303030297</v>
      </c>
      <c r="DI402" s="45" t="s">
        <v>35</v>
      </c>
      <c r="DJ402" s="59" t="str">
        <f t="shared" si="200"/>
        <v>No single majority group</v>
      </c>
      <c r="DK402" s="65">
        <v>8541</v>
      </c>
      <c r="DL402" s="58">
        <v>27.650000000000002</v>
      </c>
      <c r="DM402" s="58">
        <v>13.889999999999999</v>
      </c>
      <c r="DN402" s="58">
        <v>19.3</v>
      </c>
      <c r="DO402" s="58">
        <v>72.350000000000009</v>
      </c>
      <c r="DP402" s="66">
        <v>51.1</v>
      </c>
      <c r="DQ402" s="67">
        <v>64279</v>
      </c>
      <c r="DR402" s="53">
        <v>11</v>
      </c>
      <c r="DS402" s="58">
        <v>76.099999999999994</v>
      </c>
      <c r="DT402" s="53">
        <v>55.4</v>
      </c>
      <c r="DU402" s="55">
        <v>2.77</v>
      </c>
      <c r="DV402" s="102">
        <v>40</v>
      </c>
      <c r="DW402" s="53">
        <v>82.2</v>
      </c>
      <c r="DX402" s="53">
        <v>90.62</v>
      </c>
      <c r="DY402" s="53">
        <v>49.712499999999999</v>
      </c>
      <c r="DZ402" s="63"/>
    </row>
    <row r="403" spans="1:130" s="5" customFormat="1" ht="14.25" hidden="1" customHeight="1">
      <c r="A403" s="45">
        <v>1348</v>
      </c>
      <c r="B403" s="46" t="s">
        <v>331</v>
      </c>
      <c r="C403" s="47">
        <v>2014</v>
      </c>
      <c r="D403" s="47" t="s">
        <v>76</v>
      </c>
      <c r="E403" s="46" t="s">
        <v>77</v>
      </c>
      <c r="F403" s="46">
        <v>4</v>
      </c>
      <c r="G403" s="48">
        <v>15000</v>
      </c>
      <c r="H403" s="46" t="s">
        <v>332</v>
      </c>
      <c r="I403" s="46">
        <v>1</v>
      </c>
      <c r="J403" s="46">
        <v>4</v>
      </c>
      <c r="K403" s="49" t="s">
        <v>335</v>
      </c>
      <c r="L403" s="49" t="s">
        <v>40</v>
      </c>
      <c r="M403" s="49" t="s">
        <v>35</v>
      </c>
      <c r="N403" s="49" t="s">
        <v>512</v>
      </c>
      <c r="O403" s="49">
        <v>2014</v>
      </c>
      <c r="P403" s="49" t="s">
        <v>31</v>
      </c>
      <c r="Q403" s="49" t="s">
        <v>29</v>
      </c>
      <c r="R403" s="49">
        <v>1</v>
      </c>
      <c r="S403" s="50">
        <f t="shared" si="193"/>
        <v>25</v>
      </c>
      <c r="T403" s="49">
        <v>2</v>
      </c>
      <c r="U403" s="50">
        <f t="shared" si="194"/>
        <v>50</v>
      </c>
      <c r="V403" s="49" t="s">
        <v>891</v>
      </c>
      <c r="W403" s="49">
        <v>0</v>
      </c>
      <c r="X403" s="50">
        <f t="shared" si="195"/>
        <v>0</v>
      </c>
      <c r="Y403" s="51" t="str">
        <f t="shared" si="196"/>
        <v>No</v>
      </c>
      <c r="Z403" s="49" t="s">
        <v>35</v>
      </c>
      <c r="AA403" s="49" t="s">
        <v>23</v>
      </c>
      <c r="AB403" s="49" t="s">
        <v>23</v>
      </c>
      <c r="AC403" s="46" t="s">
        <v>87</v>
      </c>
      <c r="AD403" s="46" t="s">
        <v>27</v>
      </c>
      <c r="AE403" s="46" t="s">
        <v>73</v>
      </c>
      <c r="AF403" s="46" t="s">
        <v>29</v>
      </c>
      <c r="AG403" s="103">
        <v>17200</v>
      </c>
      <c r="AH403" s="52">
        <v>15548</v>
      </c>
      <c r="AI403" s="52">
        <v>15548</v>
      </c>
      <c r="AJ403" s="102">
        <v>42.23</v>
      </c>
      <c r="AK403" s="104">
        <v>84.46</v>
      </c>
      <c r="AL403" s="102">
        <v>64.959999999999994</v>
      </c>
      <c r="AM403" s="102"/>
      <c r="AN403" s="53">
        <f t="shared" si="197"/>
        <v>129.91999999999999</v>
      </c>
      <c r="AO403" s="53">
        <v>22.42</v>
      </c>
      <c r="AP403" s="102">
        <v>1681</v>
      </c>
      <c r="AQ403" s="102">
        <v>9.8000000000000007</v>
      </c>
      <c r="AR403" s="50">
        <v>132</v>
      </c>
      <c r="AS403" s="50">
        <v>0.9</v>
      </c>
      <c r="AT403" s="102"/>
      <c r="AU403" s="102"/>
      <c r="AV403" s="108">
        <v>17</v>
      </c>
      <c r="AW403" s="108">
        <v>0.1</v>
      </c>
      <c r="AX403" s="50">
        <v>3340</v>
      </c>
      <c r="AY403" s="50">
        <v>21.5</v>
      </c>
      <c r="AZ403" s="102"/>
      <c r="BA403" s="102"/>
      <c r="BB403" s="102"/>
      <c r="BC403" s="102"/>
      <c r="BD403" s="50">
        <v>97</v>
      </c>
      <c r="BE403" s="50">
        <v>0.6</v>
      </c>
      <c r="BF403" s="50">
        <v>3533</v>
      </c>
      <c r="BG403" s="50">
        <v>22.8</v>
      </c>
      <c r="BH403" s="102">
        <v>1731</v>
      </c>
      <c r="BI403" s="102">
        <v>11.2</v>
      </c>
      <c r="BJ403" s="108">
        <v>0</v>
      </c>
      <c r="BK403" s="108">
        <v>0</v>
      </c>
      <c r="BL403" s="108">
        <v>1731</v>
      </c>
      <c r="BM403" s="108">
        <v>11.2</v>
      </c>
      <c r="BN403" s="102"/>
      <c r="BO403" s="50"/>
      <c r="BP403" s="50"/>
      <c r="BQ403" s="50"/>
      <c r="BR403" s="108" t="s">
        <v>967</v>
      </c>
      <c r="BS403" s="54" t="s">
        <v>29</v>
      </c>
      <c r="BT403" s="45" t="str">
        <f t="shared" si="202"/>
        <v>Yes</v>
      </c>
      <c r="BU403" s="45" t="str">
        <f t="shared" si="203"/>
        <v>No</v>
      </c>
      <c r="BV403" s="45" t="str">
        <f t="shared" si="204"/>
        <v>No</v>
      </c>
      <c r="BW403" s="55">
        <f t="shared" si="205"/>
        <v>80.257919629793463</v>
      </c>
      <c r="BX403" s="55"/>
      <c r="BY403" s="55">
        <v>78.327919629793456</v>
      </c>
      <c r="BZ403" s="55"/>
      <c r="CA403" s="45">
        <v>2012</v>
      </c>
      <c r="CB403" s="55">
        <f t="shared" si="199"/>
        <v>27.749419953596288</v>
      </c>
      <c r="CC403" s="46" t="s">
        <v>334</v>
      </c>
      <c r="CD403" s="46" t="s">
        <v>71</v>
      </c>
      <c r="CE403" s="46" t="s">
        <v>783</v>
      </c>
      <c r="CF403" s="46">
        <v>1</v>
      </c>
      <c r="CG403" s="46" t="str">
        <f t="shared" si="198"/>
        <v>No</v>
      </c>
      <c r="CH403" s="46" t="s">
        <v>35</v>
      </c>
      <c r="CI403" s="56">
        <v>0</v>
      </c>
      <c r="CJ403" s="46">
        <v>20</v>
      </c>
      <c r="CK403" s="46" t="s">
        <v>23</v>
      </c>
      <c r="CL403" s="49" t="s">
        <v>29</v>
      </c>
      <c r="CM403" s="50">
        <v>0</v>
      </c>
      <c r="CN403" s="50"/>
      <c r="CO403" s="50"/>
      <c r="CP403" s="46" t="s">
        <v>35</v>
      </c>
      <c r="CQ403" s="46" t="s">
        <v>24</v>
      </c>
      <c r="CR403" s="46">
        <v>7</v>
      </c>
      <c r="CS403" s="46" t="s">
        <v>854</v>
      </c>
      <c r="CT403" s="46" t="s">
        <v>53</v>
      </c>
      <c r="CU403" s="46" t="s">
        <v>74</v>
      </c>
      <c r="CV403" s="46" t="s">
        <v>23</v>
      </c>
      <c r="CW403" s="46">
        <v>2</v>
      </c>
      <c r="CX403" s="49" t="s">
        <v>562</v>
      </c>
      <c r="CY403" s="49" t="s">
        <v>36</v>
      </c>
      <c r="CZ403" s="49">
        <v>1</v>
      </c>
      <c r="DA403" s="49">
        <v>1</v>
      </c>
      <c r="DB403" s="64">
        <v>56030</v>
      </c>
      <c r="DC403" s="58">
        <v>32.196969696969695</v>
      </c>
      <c r="DD403" s="58">
        <v>12.676180408738549</v>
      </c>
      <c r="DE403" s="58">
        <v>19.688160676532771</v>
      </c>
      <c r="DF403" s="58">
        <v>30.602536997885839</v>
      </c>
      <c r="DG403" s="58">
        <v>4.8361522198731466</v>
      </c>
      <c r="DH403" s="58">
        <v>67.803030303030297</v>
      </c>
      <c r="DI403" s="45" t="s">
        <v>35</v>
      </c>
      <c r="DJ403" s="59" t="str">
        <f t="shared" si="200"/>
        <v>No single majority group</v>
      </c>
      <c r="DK403" s="65">
        <v>8850</v>
      </c>
      <c r="DL403" s="58">
        <v>43.28</v>
      </c>
      <c r="DM403" s="58">
        <v>15.370000000000001</v>
      </c>
      <c r="DN403" s="58">
        <v>17.399999999999999</v>
      </c>
      <c r="DO403" s="58">
        <v>56.719999999999992</v>
      </c>
      <c r="DP403" s="66">
        <v>51.1</v>
      </c>
      <c r="DQ403" s="67">
        <v>64279</v>
      </c>
      <c r="DR403" s="53">
        <v>11</v>
      </c>
      <c r="DS403" s="58">
        <v>76.099999999999994</v>
      </c>
      <c r="DT403" s="53">
        <v>55.4</v>
      </c>
      <c r="DU403" s="55">
        <v>2.77</v>
      </c>
      <c r="DV403" s="102">
        <v>40</v>
      </c>
      <c r="DW403" s="53">
        <v>82.2</v>
      </c>
      <c r="DX403" s="53">
        <v>90.62</v>
      </c>
      <c r="DY403" s="53">
        <v>49.712499999999999</v>
      </c>
      <c r="DZ403" s="63"/>
    </row>
    <row r="404" spans="1:130" s="5" customFormat="1" ht="14.25" hidden="1" customHeight="1">
      <c r="A404" s="45">
        <v>1349</v>
      </c>
      <c r="B404" s="46" t="s">
        <v>331</v>
      </c>
      <c r="C404" s="47">
        <v>2014</v>
      </c>
      <c r="D404" s="47" t="s">
        <v>94</v>
      </c>
      <c r="E404" s="46" t="s">
        <v>95</v>
      </c>
      <c r="F404" s="46">
        <v>4</v>
      </c>
      <c r="G404" s="48">
        <v>15000</v>
      </c>
      <c r="H404" s="46" t="s">
        <v>332</v>
      </c>
      <c r="I404" s="46">
        <v>1</v>
      </c>
      <c r="J404" s="46">
        <v>3</v>
      </c>
      <c r="K404" s="49" t="s">
        <v>336</v>
      </c>
      <c r="L404" s="49" t="s">
        <v>30</v>
      </c>
      <c r="M404" s="49" t="s">
        <v>29</v>
      </c>
      <c r="N404" s="49" t="s">
        <v>512</v>
      </c>
      <c r="O404" s="49">
        <v>2014</v>
      </c>
      <c r="P404" s="49" t="s">
        <v>201</v>
      </c>
      <c r="Q404" s="49" t="s">
        <v>35</v>
      </c>
      <c r="R404" s="49">
        <v>0</v>
      </c>
      <c r="S404" s="50">
        <f t="shared" si="193"/>
        <v>0</v>
      </c>
      <c r="T404" s="49">
        <v>2</v>
      </c>
      <c r="U404" s="50">
        <f t="shared" si="194"/>
        <v>66.666666666666657</v>
      </c>
      <c r="V404" s="49" t="s">
        <v>869</v>
      </c>
      <c r="W404" s="49">
        <v>0</v>
      </c>
      <c r="X404" s="50">
        <f t="shared" si="195"/>
        <v>0</v>
      </c>
      <c r="Y404" s="51" t="str">
        <f t="shared" si="196"/>
        <v>No</v>
      </c>
      <c r="Z404" s="49" t="s">
        <v>35</v>
      </c>
      <c r="AA404" s="49" t="s">
        <v>23</v>
      </c>
      <c r="AB404" s="49" t="s">
        <v>23</v>
      </c>
      <c r="AC404" s="46" t="s">
        <v>72</v>
      </c>
      <c r="AD404" s="46" t="s">
        <v>27</v>
      </c>
      <c r="AE404" s="46" t="s">
        <v>73</v>
      </c>
      <c r="AF404" s="46" t="s">
        <v>29</v>
      </c>
      <c r="AG404" s="103">
        <v>17200</v>
      </c>
      <c r="AH404" s="52">
        <v>14280</v>
      </c>
      <c r="AI404" s="52">
        <v>14280</v>
      </c>
      <c r="AJ404" s="102">
        <v>53.67</v>
      </c>
      <c r="AK404" s="104">
        <v>107.34</v>
      </c>
      <c r="AL404" s="102">
        <v>53.67</v>
      </c>
      <c r="AM404" s="102"/>
      <c r="AN404" s="53">
        <f t="shared" si="197"/>
        <v>107.34</v>
      </c>
      <c r="AO404" s="53">
        <v>32</v>
      </c>
      <c r="AP404" s="102">
        <v>2978</v>
      </c>
      <c r="AQ404" s="102">
        <v>17.3</v>
      </c>
      <c r="AR404" s="102">
        <v>58</v>
      </c>
      <c r="AS404" s="102">
        <v>0.4</v>
      </c>
      <c r="AT404" s="102"/>
      <c r="AU404" s="102"/>
      <c r="AV404" s="108"/>
      <c r="AW404" s="108"/>
      <c r="AX404" s="102">
        <v>2954</v>
      </c>
      <c r="AY404" s="102">
        <v>20.8</v>
      </c>
      <c r="AZ404" s="102"/>
      <c r="BA404" s="102"/>
      <c r="BB404" s="102"/>
      <c r="BC404" s="102"/>
      <c r="BD404" s="102">
        <v>129</v>
      </c>
      <c r="BE404" s="102">
        <v>0.9</v>
      </c>
      <c r="BF404" s="102">
        <v>3098</v>
      </c>
      <c r="BG404" s="102">
        <v>21.8</v>
      </c>
      <c r="BH404" s="102"/>
      <c r="BI404" s="102"/>
      <c r="BJ404" s="108"/>
      <c r="BK404" s="108"/>
      <c r="BL404" s="108"/>
      <c r="BM404" s="108"/>
      <c r="BN404" s="102"/>
      <c r="BO404" s="102"/>
      <c r="BP404" s="102"/>
      <c r="BQ404" s="102"/>
      <c r="BR404" s="108" t="s">
        <v>967</v>
      </c>
      <c r="BS404" s="54" t="s">
        <v>29</v>
      </c>
      <c r="BT404" s="45" t="str">
        <f t="shared" si="202"/>
        <v>Yes</v>
      </c>
      <c r="BU404" s="45" t="str">
        <f t="shared" si="203"/>
        <v>No</v>
      </c>
      <c r="BV404" s="45" t="str">
        <f t="shared" si="204"/>
        <v>No</v>
      </c>
      <c r="BW404" s="55">
        <f t="shared" si="205"/>
        <v>80.257919629793463</v>
      </c>
      <c r="BX404" s="55"/>
      <c r="BY404" s="55">
        <v>78.327919629793456</v>
      </c>
      <c r="BZ404" s="55"/>
      <c r="CA404" s="45">
        <v>2012</v>
      </c>
      <c r="CB404" s="55">
        <f t="shared" si="199"/>
        <v>25.486346600035699</v>
      </c>
      <c r="CC404" s="46" t="s">
        <v>334</v>
      </c>
      <c r="CD404" s="46" t="s">
        <v>71</v>
      </c>
      <c r="CE404" s="46" t="s">
        <v>783</v>
      </c>
      <c r="CF404" s="46">
        <v>1</v>
      </c>
      <c r="CG404" s="46" t="str">
        <f t="shared" si="198"/>
        <v>No</v>
      </c>
      <c r="CH404" s="46" t="s">
        <v>35</v>
      </c>
      <c r="CI404" s="56">
        <v>0</v>
      </c>
      <c r="CJ404" s="46">
        <v>20</v>
      </c>
      <c r="CK404" s="46" t="s">
        <v>23</v>
      </c>
      <c r="CL404" s="49" t="s">
        <v>29</v>
      </c>
      <c r="CM404" s="50">
        <v>0</v>
      </c>
      <c r="CN404" s="50"/>
      <c r="CO404" s="50"/>
      <c r="CP404" s="46" t="s">
        <v>35</v>
      </c>
      <c r="CQ404" s="46" t="s">
        <v>24</v>
      </c>
      <c r="CR404" s="46">
        <v>7</v>
      </c>
      <c r="CS404" s="46" t="s">
        <v>854</v>
      </c>
      <c r="CT404" s="46" t="s">
        <v>53</v>
      </c>
      <c r="CU404" s="46" t="s">
        <v>74</v>
      </c>
      <c r="CV404" s="46" t="s">
        <v>23</v>
      </c>
      <c r="CW404" s="46">
        <v>2</v>
      </c>
      <c r="CX404" s="49" t="s">
        <v>562</v>
      </c>
      <c r="CY404" s="49" t="s">
        <v>36</v>
      </c>
      <c r="CZ404" s="49">
        <v>1</v>
      </c>
      <c r="DA404" s="49">
        <v>1</v>
      </c>
      <c r="DB404" s="64">
        <v>56030</v>
      </c>
      <c r="DC404" s="58">
        <v>32.196969696969695</v>
      </c>
      <c r="DD404" s="58">
        <v>12.676180408738549</v>
      </c>
      <c r="DE404" s="58">
        <v>19.688160676532771</v>
      </c>
      <c r="DF404" s="58">
        <v>30.602536997885839</v>
      </c>
      <c r="DG404" s="58">
        <v>4.8361522198731466</v>
      </c>
      <c r="DH404" s="58">
        <v>67.803030303030297</v>
      </c>
      <c r="DI404" s="45" t="s">
        <v>35</v>
      </c>
      <c r="DJ404" s="59" t="str">
        <f t="shared" si="200"/>
        <v>No single majority group</v>
      </c>
      <c r="DK404" s="69">
        <v>11706</v>
      </c>
      <c r="DL404" s="58">
        <v>48.35</v>
      </c>
      <c r="DM404" s="58">
        <v>6.2399999999999993</v>
      </c>
      <c r="DN404" s="58">
        <v>11.219999999999999</v>
      </c>
      <c r="DO404" s="58">
        <v>69.73</v>
      </c>
      <c r="DP404" s="66">
        <v>51.1</v>
      </c>
      <c r="DQ404" s="67">
        <v>64279</v>
      </c>
      <c r="DR404" s="53">
        <v>11</v>
      </c>
      <c r="DS404" s="58">
        <v>76.099999999999994</v>
      </c>
      <c r="DT404" s="53">
        <v>55.4</v>
      </c>
      <c r="DU404" s="55">
        <v>2.77</v>
      </c>
      <c r="DV404" s="50">
        <v>40</v>
      </c>
      <c r="DW404" s="53">
        <v>82.2</v>
      </c>
      <c r="DX404" s="53">
        <v>90.62</v>
      </c>
      <c r="DY404" s="53">
        <v>49.712499999999999</v>
      </c>
      <c r="DZ404" s="63"/>
    </row>
    <row r="405" spans="1:130" s="5" customFormat="1" ht="14.25" hidden="1" customHeight="1">
      <c r="A405" s="45">
        <v>1350</v>
      </c>
      <c r="B405" s="46" t="s">
        <v>331</v>
      </c>
      <c r="C405" s="47">
        <v>2014</v>
      </c>
      <c r="D405" s="47" t="s">
        <v>97</v>
      </c>
      <c r="E405" s="46" t="s">
        <v>98</v>
      </c>
      <c r="F405" s="46">
        <v>4</v>
      </c>
      <c r="G405" s="48">
        <v>15000</v>
      </c>
      <c r="H405" s="46" t="s">
        <v>332</v>
      </c>
      <c r="I405" s="46">
        <v>1</v>
      </c>
      <c r="J405" s="46">
        <v>3</v>
      </c>
      <c r="K405" s="49" t="s">
        <v>337</v>
      </c>
      <c r="L405" s="49" t="s">
        <v>40</v>
      </c>
      <c r="M405" s="49" t="s">
        <v>35</v>
      </c>
      <c r="N405" s="49" t="s">
        <v>512</v>
      </c>
      <c r="O405" s="49">
        <v>2014</v>
      </c>
      <c r="P405" s="49" t="s">
        <v>857</v>
      </c>
      <c r="Q405" s="49" t="s">
        <v>35</v>
      </c>
      <c r="R405" s="49">
        <v>3</v>
      </c>
      <c r="S405" s="50">
        <f t="shared" si="193"/>
        <v>100</v>
      </c>
      <c r="T405" s="49">
        <v>1</v>
      </c>
      <c r="U405" s="50">
        <f t="shared" si="194"/>
        <v>33.333333333333329</v>
      </c>
      <c r="V405" s="49" t="s">
        <v>789</v>
      </c>
      <c r="W405" s="49">
        <v>1</v>
      </c>
      <c r="X405" s="50">
        <f t="shared" si="195"/>
        <v>33.333333333333329</v>
      </c>
      <c r="Y405" s="51" t="str">
        <f t="shared" si="196"/>
        <v>Yes</v>
      </c>
      <c r="Z405" s="49" t="s">
        <v>35</v>
      </c>
      <c r="AA405" s="49" t="s">
        <v>23</v>
      </c>
      <c r="AB405" s="49" t="s">
        <v>23</v>
      </c>
      <c r="AC405" s="46" t="s">
        <v>72</v>
      </c>
      <c r="AD405" s="46" t="s">
        <v>27</v>
      </c>
      <c r="AE405" s="46" t="s">
        <v>73</v>
      </c>
      <c r="AF405" s="46" t="s">
        <v>29</v>
      </c>
      <c r="AG405" s="103">
        <v>17200</v>
      </c>
      <c r="AH405" s="52">
        <v>14767</v>
      </c>
      <c r="AI405" s="52">
        <v>14767</v>
      </c>
      <c r="AJ405" s="102">
        <v>53.54</v>
      </c>
      <c r="AK405" s="104">
        <v>107.08</v>
      </c>
      <c r="AL405" s="102">
        <v>53.54</v>
      </c>
      <c r="AM405" s="102"/>
      <c r="AN405" s="53">
        <f t="shared" si="197"/>
        <v>107.08</v>
      </c>
      <c r="AO405" s="53">
        <v>23.59</v>
      </c>
      <c r="AP405" s="102">
        <v>2481</v>
      </c>
      <c r="AQ405" s="102">
        <v>14.4</v>
      </c>
      <c r="AR405" s="102">
        <v>75</v>
      </c>
      <c r="AS405" s="102">
        <v>0.5</v>
      </c>
      <c r="AT405" s="102"/>
      <c r="AU405" s="102"/>
      <c r="AV405" s="102"/>
      <c r="AW405" s="102"/>
      <c r="AX405" s="102">
        <v>3045</v>
      </c>
      <c r="AY405" s="102">
        <v>20.7</v>
      </c>
      <c r="AZ405" s="102"/>
      <c r="BA405" s="102"/>
      <c r="BB405" s="102"/>
      <c r="BC405" s="102"/>
      <c r="BD405" s="102">
        <v>95</v>
      </c>
      <c r="BE405" s="102">
        <v>0.6</v>
      </c>
      <c r="BF405" s="102">
        <v>3183</v>
      </c>
      <c r="BG405" s="102">
        <v>21.6</v>
      </c>
      <c r="BH405" s="102"/>
      <c r="BI405" s="102"/>
      <c r="BJ405" s="102"/>
      <c r="BK405" s="102"/>
      <c r="BL405" s="102"/>
      <c r="BM405" s="102"/>
      <c r="BN405" s="102"/>
      <c r="BO405" s="102"/>
      <c r="BP405" s="102"/>
      <c r="BQ405" s="102"/>
      <c r="BR405" s="102" t="s">
        <v>967</v>
      </c>
      <c r="BS405" s="54" t="s">
        <v>29</v>
      </c>
      <c r="BT405" s="45" t="str">
        <f t="shared" si="202"/>
        <v>No</v>
      </c>
      <c r="BU405" s="45" t="str">
        <f t="shared" si="203"/>
        <v>No</v>
      </c>
      <c r="BV405" s="45" t="str">
        <f t="shared" si="204"/>
        <v>No</v>
      </c>
      <c r="BW405" s="55">
        <f t="shared" si="205"/>
        <v>80.257919629793463</v>
      </c>
      <c r="BX405" s="55"/>
      <c r="BY405" s="55">
        <v>78.327919629793456</v>
      </c>
      <c r="BZ405" s="55"/>
      <c r="CA405" s="45">
        <v>2012</v>
      </c>
      <c r="CB405" s="55">
        <f t="shared" si="199"/>
        <v>26.355523826521505</v>
      </c>
      <c r="CC405" s="46" t="s">
        <v>334</v>
      </c>
      <c r="CD405" s="46" t="s">
        <v>71</v>
      </c>
      <c r="CE405" s="46" t="s">
        <v>783</v>
      </c>
      <c r="CF405" s="46">
        <v>1</v>
      </c>
      <c r="CG405" s="46" t="str">
        <f t="shared" si="198"/>
        <v>No</v>
      </c>
      <c r="CH405" s="46" t="s">
        <v>35</v>
      </c>
      <c r="CI405" s="56">
        <v>0</v>
      </c>
      <c r="CJ405" s="46">
        <v>20</v>
      </c>
      <c r="CK405" s="46" t="s">
        <v>23</v>
      </c>
      <c r="CL405" s="49" t="s">
        <v>29</v>
      </c>
      <c r="CM405" s="50">
        <v>0</v>
      </c>
      <c r="CN405" s="50"/>
      <c r="CO405" s="50"/>
      <c r="CP405" s="46" t="s">
        <v>35</v>
      </c>
      <c r="CQ405" s="46" t="s">
        <v>24</v>
      </c>
      <c r="CR405" s="46">
        <v>7</v>
      </c>
      <c r="CS405" s="46" t="s">
        <v>854</v>
      </c>
      <c r="CT405" s="46" t="s">
        <v>53</v>
      </c>
      <c r="CU405" s="46" t="s">
        <v>74</v>
      </c>
      <c r="CV405" s="46" t="s">
        <v>23</v>
      </c>
      <c r="CW405" s="46">
        <v>2</v>
      </c>
      <c r="CX405" s="49" t="s">
        <v>562</v>
      </c>
      <c r="CY405" s="49" t="s">
        <v>36</v>
      </c>
      <c r="CZ405" s="49">
        <v>1</v>
      </c>
      <c r="DA405" s="49">
        <v>1</v>
      </c>
      <c r="DB405" s="64">
        <v>56030</v>
      </c>
      <c r="DC405" s="58">
        <v>32.196969696969695</v>
      </c>
      <c r="DD405" s="58">
        <v>12.676180408738549</v>
      </c>
      <c r="DE405" s="58">
        <v>19.688160676532771</v>
      </c>
      <c r="DF405" s="58">
        <v>30.602536997885839</v>
      </c>
      <c r="DG405" s="58">
        <v>4.8361522198731466</v>
      </c>
      <c r="DH405" s="58">
        <v>67.803030303030297</v>
      </c>
      <c r="DI405" s="45" t="s">
        <v>35</v>
      </c>
      <c r="DJ405" s="59" t="str">
        <f t="shared" si="200"/>
        <v>No single majority group</v>
      </c>
      <c r="DK405" s="69">
        <v>8300</v>
      </c>
      <c r="DL405" s="58">
        <v>41.08</v>
      </c>
      <c r="DM405" s="58">
        <v>16.14</v>
      </c>
      <c r="DN405" s="58">
        <v>21.51</v>
      </c>
      <c r="DO405" s="58">
        <v>58.919999999999995</v>
      </c>
      <c r="DP405" s="66">
        <v>51.1</v>
      </c>
      <c r="DQ405" s="67">
        <v>64279</v>
      </c>
      <c r="DR405" s="53">
        <v>11</v>
      </c>
      <c r="DS405" s="58">
        <v>76.099999999999994</v>
      </c>
      <c r="DT405" s="53">
        <v>55.4</v>
      </c>
      <c r="DU405" s="55">
        <v>2.77</v>
      </c>
      <c r="DV405" s="50">
        <v>40</v>
      </c>
      <c r="DW405" s="53">
        <v>82.2</v>
      </c>
      <c r="DX405" s="53">
        <v>90.62</v>
      </c>
      <c r="DY405" s="53">
        <v>49.712499999999999</v>
      </c>
      <c r="DZ405" s="63"/>
    </row>
    <row r="406" spans="1:130" s="5" customFormat="1" ht="14.25" hidden="1" customHeight="1">
      <c r="A406" s="45">
        <v>1347</v>
      </c>
      <c r="B406" s="46" t="s">
        <v>331</v>
      </c>
      <c r="C406" s="47">
        <v>2014</v>
      </c>
      <c r="D406" s="47" t="s">
        <v>38</v>
      </c>
      <c r="E406" s="46" t="s">
        <v>22</v>
      </c>
      <c r="F406" s="46">
        <v>4</v>
      </c>
      <c r="G406" s="48">
        <v>19000</v>
      </c>
      <c r="H406" s="46" t="s">
        <v>332</v>
      </c>
      <c r="I406" s="46">
        <v>1</v>
      </c>
      <c r="J406" s="46">
        <v>4</v>
      </c>
      <c r="K406" s="49" t="s">
        <v>333</v>
      </c>
      <c r="L406" s="49" t="s">
        <v>40</v>
      </c>
      <c r="M406" s="49" t="s">
        <v>35</v>
      </c>
      <c r="N406" s="49" t="s">
        <v>512</v>
      </c>
      <c r="O406" s="49">
        <v>2014</v>
      </c>
      <c r="P406" s="49" t="s">
        <v>31</v>
      </c>
      <c r="Q406" s="49" t="s">
        <v>29</v>
      </c>
      <c r="R406" s="49">
        <v>2</v>
      </c>
      <c r="S406" s="50">
        <f t="shared" si="193"/>
        <v>50</v>
      </c>
      <c r="T406" s="49">
        <v>0</v>
      </c>
      <c r="U406" s="50">
        <f t="shared" si="194"/>
        <v>0</v>
      </c>
      <c r="V406" s="45"/>
      <c r="W406" s="49">
        <v>0</v>
      </c>
      <c r="X406" s="50">
        <f t="shared" si="195"/>
        <v>0</v>
      </c>
      <c r="Y406" s="51" t="str">
        <f t="shared" si="196"/>
        <v>No</v>
      </c>
      <c r="Z406" s="49" t="s">
        <v>35</v>
      </c>
      <c r="AA406" s="49" t="s">
        <v>23</v>
      </c>
      <c r="AB406" s="49" t="s">
        <v>23</v>
      </c>
      <c r="AC406" s="46" t="s">
        <v>87</v>
      </c>
      <c r="AD406" s="46" t="s">
        <v>27</v>
      </c>
      <c r="AE406" s="46" t="s">
        <v>73</v>
      </c>
      <c r="AF406" s="46" t="s">
        <v>29</v>
      </c>
      <c r="AG406" s="103">
        <v>17200</v>
      </c>
      <c r="AH406" s="52">
        <v>16268</v>
      </c>
      <c r="AI406" s="52">
        <v>16268</v>
      </c>
      <c r="AJ406" s="102">
        <v>48.46</v>
      </c>
      <c r="AK406" s="104">
        <v>96.92</v>
      </c>
      <c r="AL406" s="102">
        <v>57.27</v>
      </c>
      <c r="AM406" s="102"/>
      <c r="AN406" s="53">
        <f t="shared" si="197"/>
        <v>114.54</v>
      </c>
      <c r="AO406" s="53">
        <v>36.549999999999997</v>
      </c>
      <c r="AP406" s="102">
        <v>951</v>
      </c>
      <c r="AQ406" s="102">
        <v>5.5</v>
      </c>
      <c r="AR406" s="102">
        <v>104</v>
      </c>
      <c r="AS406" s="102">
        <v>0.6</v>
      </c>
      <c r="AT406" s="102"/>
      <c r="AU406" s="102"/>
      <c r="AV406" s="108">
        <v>9</v>
      </c>
      <c r="AW406" s="108">
        <v>0.1</v>
      </c>
      <c r="AX406" s="102">
        <v>3881</v>
      </c>
      <c r="AY406" s="102">
        <v>23.9</v>
      </c>
      <c r="AZ406" s="102"/>
      <c r="BA406" s="102"/>
      <c r="BB406" s="102"/>
      <c r="BC406" s="102"/>
      <c r="BD406" s="102">
        <v>129</v>
      </c>
      <c r="BE406" s="102">
        <v>0.8</v>
      </c>
      <c r="BF406" s="102">
        <v>4071</v>
      </c>
      <c r="BG406" s="102">
        <v>25.1</v>
      </c>
      <c r="BH406" s="102">
        <v>833</v>
      </c>
      <c r="BI406" s="102">
        <v>5.0999999999999996</v>
      </c>
      <c r="BJ406" s="108">
        <v>0</v>
      </c>
      <c r="BK406" s="108">
        <v>0</v>
      </c>
      <c r="BL406" s="108">
        <v>833</v>
      </c>
      <c r="BM406" s="108">
        <v>5.0999999999999996</v>
      </c>
      <c r="BN406" s="102"/>
      <c r="BO406" s="102"/>
      <c r="BP406" s="102"/>
      <c r="BQ406" s="102"/>
      <c r="BR406" s="108" t="s">
        <v>967</v>
      </c>
      <c r="BS406" s="54" t="s">
        <v>29</v>
      </c>
      <c r="BT406" s="45" t="str">
        <f t="shared" si="202"/>
        <v>Yes</v>
      </c>
      <c r="BU406" s="45" t="str">
        <f t="shared" si="203"/>
        <v>Yes</v>
      </c>
      <c r="BV406" s="45" t="str">
        <f t="shared" si="204"/>
        <v>No</v>
      </c>
      <c r="BW406" s="55">
        <f t="shared" si="205"/>
        <v>80.257919629793463</v>
      </c>
      <c r="BX406" s="55">
        <f>(23587/(23587+5802))*100</f>
        <v>80.257919629793463</v>
      </c>
      <c r="BY406" s="55">
        <v>78.327919629793456</v>
      </c>
      <c r="BZ406" s="55">
        <f>BX406-(0.0386*100/2)</f>
        <v>78.327919629793456</v>
      </c>
      <c r="CA406" s="45">
        <v>2012</v>
      </c>
      <c r="CB406" s="55">
        <f t="shared" si="199"/>
        <v>29.034445832589682</v>
      </c>
      <c r="CC406" s="46" t="s">
        <v>490</v>
      </c>
      <c r="CD406" s="46" t="s">
        <v>71</v>
      </c>
      <c r="CE406" s="46" t="s">
        <v>783</v>
      </c>
      <c r="CF406" s="46">
        <v>1</v>
      </c>
      <c r="CG406" s="46" t="str">
        <f t="shared" si="198"/>
        <v>No</v>
      </c>
      <c r="CH406" s="46" t="s">
        <v>35</v>
      </c>
      <c r="CI406" s="56">
        <v>0</v>
      </c>
      <c r="CJ406" s="46">
        <v>20</v>
      </c>
      <c r="CK406" s="46" t="s">
        <v>23</v>
      </c>
      <c r="CL406" s="49" t="s">
        <v>29</v>
      </c>
      <c r="CM406" s="50">
        <v>0</v>
      </c>
      <c r="CN406" s="50">
        <v>96543.59</v>
      </c>
      <c r="CO406" s="50" t="s">
        <v>35</v>
      </c>
      <c r="CP406" s="46" t="s">
        <v>23</v>
      </c>
      <c r="CQ406" s="46" t="s">
        <v>23</v>
      </c>
      <c r="CR406" s="46">
        <v>7</v>
      </c>
      <c r="CS406" s="46" t="s">
        <v>854</v>
      </c>
      <c r="CT406" s="46" t="s">
        <v>53</v>
      </c>
      <c r="CU406" s="46" t="s">
        <v>74</v>
      </c>
      <c r="CV406" s="46" t="s">
        <v>23</v>
      </c>
      <c r="CW406" s="46">
        <v>2</v>
      </c>
      <c r="CX406" s="49" t="s">
        <v>562</v>
      </c>
      <c r="CY406" s="49" t="s">
        <v>36</v>
      </c>
      <c r="CZ406" s="49">
        <v>1</v>
      </c>
      <c r="DA406" s="49">
        <v>1</v>
      </c>
      <c r="DB406" s="64">
        <v>56030</v>
      </c>
      <c r="DC406" s="58">
        <v>32.196969696969695</v>
      </c>
      <c r="DD406" s="58">
        <v>12.676180408738549</v>
      </c>
      <c r="DE406" s="58">
        <v>19.688160676532771</v>
      </c>
      <c r="DF406" s="58">
        <v>30.602536997885839</v>
      </c>
      <c r="DG406" s="58">
        <v>4.8361522198731466</v>
      </c>
      <c r="DH406" s="58">
        <v>67.803030303030297</v>
      </c>
      <c r="DI406" s="45" t="s">
        <v>35</v>
      </c>
      <c r="DJ406" s="59" t="str">
        <f t="shared" si="200"/>
        <v>No single majority group</v>
      </c>
      <c r="DK406" s="65">
        <v>56030</v>
      </c>
      <c r="DL406" s="58">
        <v>32.196969696969695</v>
      </c>
      <c r="DM406" s="58">
        <v>12.676180408738549</v>
      </c>
      <c r="DN406" s="58">
        <v>19.688160676532771</v>
      </c>
      <c r="DO406" s="58">
        <v>67.803030303030297</v>
      </c>
      <c r="DP406" s="66">
        <v>51.1</v>
      </c>
      <c r="DQ406" s="67">
        <v>64279</v>
      </c>
      <c r="DR406" s="53">
        <v>11</v>
      </c>
      <c r="DS406" s="58">
        <v>76.099999999999994</v>
      </c>
      <c r="DT406" s="53">
        <v>55.4</v>
      </c>
      <c r="DU406" s="55">
        <v>2.77</v>
      </c>
      <c r="DV406" s="50">
        <v>40</v>
      </c>
      <c r="DW406" s="53">
        <v>82.2</v>
      </c>
      <c r="DX406" s="53">
        <v>90.62</v>
      </c>
      <c r="DY406" s="53">
        <v>49.712499999999999</v>
      </c>
      <c r="DZ406" s="63"/>
    </row>
    <row r="407" spans="1:130" s="5" customFormat="1" ht="14.25" hidden="1" customHeight="1">
      <c r="A407" s="45">
        <v>2022</v>
      </c>
      <c r="B407" s="46" t="s">
        <v>331</v>
      </c>
      <c r="C407" s="47">
        <v>2016</v>
      </c>
      <c r="D407" s="47" t="s">
        <v>21</v>
      </c>
      <c r="E407" s="46" t="s">
        <v>92</v>
      </c>
      <c r="F407" s="46">
        <v>4</v>
      </c>
      <c r="G407" s="34"/>
      <c r="H407" s="46" t="s">
        <v>332</v>
      </c>
      <c r="I407" s="46">
        <v>1</v>
      </c>
      <c r="J407" s="46">
        <v>2</v>
      </c>
      <c r="K407" s="49" t="s">
        <v>3137</v>
      </c>
      <c r="L407" s="49" t="s">
        <v>30</v>
      </c>
      <c r="M407" s="49" t="s">
        <v>29</v>
      </c>
      <c r="N407" s="49" t="s">
        <v>512</v>
      </c>
      <c r="O407" s="49">
        <v>2016</v>
      </c>
      <c r="P407" s="63" t="s">
        <v>3139</v>
      </c>
      <c r="Q407" s="63" t="s">
        <v>35</v>
      </c>
      <c r="R407" s="49">
        <v>0</v>
      </c>
      <c r="S407" s="179">
        <v>0</v>
      </c>
      <c r="T407" s="49">
        <v>2</v>
      </c>
      <c r="U407" s="179">
        <v>100</v>
      </c>
      <c r="V407" s="179" t="s">
        <v>794</v>
      </c>
      <c r="W407" s="49">
        <v>0</v>
      </c>
      <c r="X407" s="179">
        <v>0</v>
      </c>
      <c r="Y407" s="179" t="s">
        <v>29</v>
      </c>
      <c r="Z407" s="45" t="s">
        <v>35</v>
      </c>
      <c r="AA407" s="49" t="s">
        <v>23</v>
      </c>
      <c r="AB407" s="49" t="s">
        <v>23</v>
      </c>
      <c r="AC407" s="46" t="s">
        <v>72</v>
      </c>
      <c r="AD407" s="46" t="s">
        <v>27</v>
      </c>
      <c r="AE407" s="46" t="s">
        <v>89</v>
      </c>
      <c r="AF407" s="46" t="s">
        <v>29</v>
      </c>
      <c r="AG407" s="52">
        <v>31790</v>
      </c>
      <c r="AH407" s="52">
        <v>26930</v>
      </c>
      <c r="AI407" s="52">
        <v>26930</v>
      </c>
      <c r="AJ407" s="52">
        <v>54.39</v>
      </c>
      <c r="AK407" s="174">
        <v>108.78</v>
      </c>
      <c r="AL407" s="102">
        <v>54.39</v>
      </c>
      <c r="AM407" s="179">
        <v>54.39</v>
      </c>
      <c r="AN407" s="179">
        <v>54.39</v>
      </c>
      <c r="AO407" s="53">
        <v>45.61</v>
      </c>
      <c r="AP407" s="177">
        <v>4755</v>
      </c>
      <c r="AQ407" s="179">
        <v>15</v>
      </c>
      <c r="AR407" s="177">
        <v>160</v>
      </c>
      <c r="AS407" s="179">
        <v>0.6</v>
      </c>
      <c r="AT407" s="179"/>
      <c r="AU407" s="179"/>
      <c r="AV407" s="179"/>
      <c r="AW407" s="179"/>
      <c r="AX407" s="177">
        <v>11996</v>
      </c>
      <c r="AY407" s="179">
        <v>44.4</v>
      </c>
      <c r="AZ407" s="177">
        <v>7089</v>
      </c>
      <c r="BA407" s="179">
        <v>26.2</v>
      </c>
      <c r="BB407" s="177">
        <v>4907</v>
      </c>
      <c r="BC407" s="179">
        <v>18.2</v>
      </c>
      <c r="BD407" s="177">
        <v>1143</v>
      </c>
      <c r="BE407" s="179">
        <v>4.2</v>
      </c>
      <c r="BF407" s="177">
        <v>13142</v>
      </c>
      <c r="BG407" s="179">
        <v>48.6</v>
      </c>
      <c r="BH407" s="177"/>
      <c r="BI407" s="179"/>
      <c r="BJ407" s="179"/>
      <c r="BK407" s="179"/>
      <c r="BL407" s="179"/>
      <c r="BM407" s="179"/>
      <c r="BN407" s="111"/>
      <c r="BO407" s="179"/>
      <c r="BP407" s="179"/>
      <c r="BQ407" s="179"/>
      <c r="BR407" s="179" t="s">
        <v>967</v>
      </c>
      <c r="BS407" s="54" t="s">
        <v>29</v>
      </c>
      <c r="BT407" s="45" t="str">
        <f t="shared" si="202"/>
        <v>Yes</v>
      </c>
      <c r="BU407" s="45" t="str">
        <f t="shared" si="203"/>
        <v>Yes</v>
      </c>
      <c r="BV407" s="45" t="str">
        <f t="shared" si="204"/>
        <v>No</v>
      </c>
      <c r="BW407" s="179"/>
      <c r="BX407" s="179"/>
      <c r="BY407" s="179"/>
      <c r="BZ407" s="179"/>
      <c r="CA407" s="179"/>
      <c r="CB407" s="179"/>
      <c r="CC407" s="46" t="s">
        <v>334</v>
      </c>
      <c r="CD407" s="46" t="s">
        <v>71</v>
      </c>
      <c r="CE407" s="46" t="s">
        <v>783</v>
      </c>
      <c r="CF407" s="46">
        <v>1</v>
      </c>
      <c r="CG407" s="46" t="s">
        <v>29</v>
      </c>
      <c r="CH407" s="46" t="s">
        <v>35</v>
      </c>
      <c r="CI407" s="181">
        <v>0</v>
      </c>
      <c r="CJ407" s="46">
        <v>20</v>
      </c>
      <c r="CK407" s="46" t="s">
        <v>23</v>
      </c>
      <c r="CL407" s="49" t="s">
        <v>29</v>
      </c>
      <c r="CM407" s="50">
        <v>0</v>
      </c>
      <c r="CN407" s="179"/>
      <c r="CO407" s="179"/>
      <c r="CP407" s="46" t="s">
        <v>35</v>
      </c>
      <c r="CQ407" s="46" t="s">
        <v>24</v>
      </c>
      <c r="CR407" s="46">
        <v>7</v>
      </c>
      <c r="CS407" s="46" t="s">
        <v>854</v>
      </c>
      <c r="CT407" s="46" t="s">
        <v>53</v>
      </c>
      <c r="CU407" s="46" t="s">
        <v>74</v>
      </c>
      <c r="CV407" s="179"/>
      <c r="CW407" s="179"/>
      <c r="CX407" s="179"/>
      <c r="CY407" s="179"/>
      <c r="CZ407" s="179"/>
      <c r="DA407" s="179"/>
      <c r="DB407" s="179"/>
      <c r="DC407" s="179"/>
      <c r="DD407" s="179"/>
      <c r="DE407" s="179"/>
      <c r="DF407" s="179"/>
      <c r="DG407" s="179"/>
      <c r="DH407" s="179"/>
      <c r="DI407" s="179"/>
      <c r="DJ407" s="179"/>
      <c r="DK407" s="34"/>
      <c r="DL407" s="179"/>
      <c r="DM407" s="179"/>
      <c r="DN407" s="179"/>
      <c r="DO407" s="179"/>
      <c r="DP407" s="179"/>
      <c r="DQ407" s="179"/>
      <c r="DR407" s="179"/>
      <c r="DS407" s="179"/>
      <c r="DT407" s="179"/>
      <c r="DU407" s="179"/>
      <c r="DV407" s="179"/>
      <c r="DW407" s="179"/>
      <c r="DX407" s="179"/>
      <c r="DY407" s="179"/>
      <c r="DZ407" s="179"/>
    </row>
    <row r="408" spans="1:130" s="5" customFormat="1" ht="14.25" hidden="1" customHeight="1">
      <c r="A408" s="45">
        <v>2023</v>
      </c>
      <c r="B408" s="46" t="s">
        <v>331</v>
      </c>
      <c r="C408" s="47">
        <v>2016</v>
      </c>
      <c r="D408" s="47" t="s">
        <v>21</v>
      </c>
      <c r="E408" s="46" t="s">
        <v>80</v>
      </c>
      <c r="F408" s="46">
        <v>4</v>
      </c>
      <c r="G408" s="34"/>
      <c r="H408" s="46" t="s">
        <v>332</v>
      </c>
      <c r="I408" s="46">
        <v>1</v>
      </c>
      <c r="J408" s="46">
        <v>1</v>
      </c>
      <c r="K408" s="49" t="s">
        <v>339</v>
      </c>
      <c r="L408" s="63" t="s">
        <v>30</v>
      </c>
      <c r="M408" s="63" t="s">
        <v>29</v>
      </c>
      <c r="N408" s="63" t="s">
        <v>513</v>
      </c>
      <c r="O408" s="63">
        <v>2012</v>
      </c>
      <c r="P408" s="63" t="s">
        <v>34</v>
      </c>
      <c r="Q408" s="63" t="s">
        <v>35</v>
      </c>
      <c r="R408" s="49">
        <v>0</v>
      </c>
      <c r="S408" s="179">
        <v>0</v>
      </c>
      <c r="T408" s="49">
        <v>1</v>
      </c>
      <c r="U408" s="179">
        <v>100</v>
      </c>
      <c r="V408" s="179" t="s">
        <v>173</v>
      </c>
      <c r="W408" s="49">
        <v>0</v>
      </c>
      <c r="X408" s="179">
        <v>0</v>
      </c>
      <c r="Y408" s="179" t="s">
        <v>29</v>
      </c>
      <c r="Z408" s="45" t="s">
        <v>29</v>
      </c>
      <c r="AA408" s="49" t="s">
        <v>35</v>
      </c>
      <c r="AB408" s="49" t="s">
        <v>29</v>
      </c>
      <c r="AC408" s="46" t="s">
        <v>72</v>
      </c>
      <c r="AD408" s="46" t="s">
        <v>27</v>
      </c>
      <c r="AE408" s="46" t="s">
        <v>89</v>
      </c>
      <c r="AF408" s="46" t="s">
        <v>29</v>
      </c>
      <c r="AG408" s="52">
        <v>31790</v>
      </c>
      <c r="AH408" s="52">
        <v>23293</v>
      </c>
      <c r="AI408" s="52">
        <v>23293</v>
      </c>
      <c r="AJ408" s="52">
        <v>100</v>
      </c>
      <c r="AK408" s="174">
        <v>200</v>
      </c>
      <c r="AL408" s="102">
        <v>100</v>
      </c>
      <c r="AM408" s="179" t="s">
        <v>23</v>
      </c>
      <c r="AN408" s="179">
        <v>100</v>
      </c>
      <c r="AO408" s="53">
        <v>0</v>
      </c>
      <c r="AP408" s="177">
        <v>8456</v>
      </c>
      <c r="AQ408" s="179">
        <v>26.6</v>
      </c>
      <c r="AR408" s="177">
        <v>54</v>
      </c>
      <c r="AS408" s="179">
        <v>0.2</v>
      </c>
      <c r="AT408" s="179"/>
      <c r="AU408" s="179"/>
      <c r="AV408" s="179"/>
      <c r="AW408" s="179"/>
      <c r="AX408" s="177">
        <v>10628</v>
      </c>
      <c r="AY408" s="179">
        <v>45.5</v>
      </c>
      <c r="AZ408" s="177">
        <v>9548</v>
      </c>
      <c r="BA408" s="179">
        <v>40.9</v>
      </c>
      <c r="BB408" s="177">
        <v>1080</v>
      </c>
      <c r="BC408" s="179">
        <v>4.5999999999999996</v>
      </c>
      <c r="BD408" s="177">
        <v>1818</v>
      </c>
      <c r="BE408" s="179">
        <v>7.8</v>
      </c>
      <c r="BF408" s="177">
        <v>12114</v>
      </c>
      <c r="BG408" s="179">
        <v>51.9</v>
      </c>
      <c r="BH408" s="177"/>
      <c r="BI408" s="179"/>
      <c r="BJ408" s="179"/>
      <c r="BK408" s="179"/>
      <c r="BL408" s="179"/>
      <c r="BM408" s="179"/>
      <c r="BN408" s="108"/>
      <c r="BO408" s="179"/>
      <c r="BP408" s="179"/>
      <c r="BQ408" s="179"/>
      <c r="BR408" s="179" t="s">
        <v>967</v>
      </c>
      <c r="BS408" s="54" t="s">
        <v>29</v>
      </c>
      <c r="BT408" s="45" t="str">
        <f t="shared" si="202"/>
        <v>No</v>
      </c>
      <c r="BU408" s="45" t="str">
        <f t="shared" si="203"/>
        <v>No</v>
      </c>
      <c r="BV408" s="45" t="str">
        <f t="shared" si="204"/>
        <v>No</v>
      </c>
      <c r="BW408" s="179"/>
      <c r="BX408" s="179"/>
      <c r="BY408" s="179"/>
      <c r="BZ408" s="179"/>
      <c r="CA408" s="179"/>
      <c r="CB408" s="179"/>
      <c r="CC408" s="46" t="s">
        <v>334</v>
      </c>
      <c r="CD408" s="46" t="s">
        <v>71</v>
      </c>
      <c r="CE408" s="46" t="s">
        <v>783</v>
      </c>
      <c r="CF408" s="46">
        <v>1</v>
      </c>
      <c r="CG408" s="46" t="s">
        <v>29</v>
      </c>
      <c r="CH408" s="46" t="s">
        <v>35</v>
      </c>
      <c r="CI408" s="181">
        <v>0</v>
      </c>
      <c r="CJ408" s="46">
        <v>20</v>
      </c>
      <c r="CK408" s="46" t="s">
        <v>23</v>
      </c>
      <c r="CL408" s="49" t="s">
        <v>29</v>
      </c>
      <c r="CM408" s="50">
        <v>0</v>
      </c>
      <c r="CN408" s="179"/>
      <c r="CO408" s="179"/>
      <c r="CP408" s="46" t="s">
        <v>35</v>
      </c>
      <c r="CQ408" s="46" t="s">
        <v>24</v>
      </c>
      <c r="CR408" s="46">
        <v>7</v>
      </c>
      <c r="CS408" s="46" t="s">
        <v>854</v>
      </c>
      <c r="CT408" s="46" t="s">
        <v>53</v>
      </c>
      <c r="CU408" s="46" t="s">
        <v>74</v>
      </c>
      <c r="CV408" s="179"/>
      <c r="CW408" s="179"/>
      <c r="CX408" s="179"/>
      <c r="CY408" s="179"/>
      <c r="CZ408" s="179"/>
      <c r="DA408" s="179"/>
      <c r="DB408" s="179"/>
      <c r="DC408" s="179"/>
      <c r="DD408" s="179"/>
      <c r="DE408" s="179"/>
      <c r="DF408" s="179"/>
      <c r="DG408" s="179"/>
      <c r="DH408" s="179"/>
      <c r="DI408" s="179"/>
      <c r="DJ408" s="179"/>
      <c r="DK408" s="34"/>
      <c r="DL408" s="179"/>
      <c r="DM408" s="179"/>
      <c r="DN408" s="179"/>
      <c r="DO408" s="179"/>
      <c r="DP408" s="179"/>
      <c r="DQ408" s="179"/>
      <c r="DR408" s="179"/>
      <c r="DS408" s="179"/>
      <c r="DT408" s="179"/>
      <c r="DU408" s="179"/>
      <c r="DV408" s="179"/>
      <c r="DW408" s="179"/>
      <c r="DX408" s="179"/>
      <c r="DY408" s="179"/>
      <c r="DZ408" s="179"/>
    </row>
    <row r="409" spans="1:130" s="5" customFormat="1" ht="14.25" hidden="1" customHeight="1">
      <c r="A409" s="45">
        <v>2024</v>
      </c>
      <c r="B409" s="46" t="s">
        <v>331</v>
      </c>
      <c r="C409" s="47">
        <v>2016</v>
      </c>
      <c r="D409" s="47" t="s">
        <v>21</v>
      </c>
      <c r="E409" s="46" t="s">
        <v>101</v>
      </c>
      <c r="F409" s="46">
        <v>4</v>
      </c>
      <c r="G409" s="34"/>
      <c r="H409" s="46" t="s">
        <v>332</v>
      </c>
      <c r="I409" s="46">
        <v>1</v>
      </c>
      <c r="J409" s="46">
        <v>1</v>
      </c>
      <c r="K409" s="49" t="s">
        <v>3138</v>
      </c>
      <c r="L409" s="49" t="s">
        <v>30</v>
      </c>
      <c r="M409" s="49" t="s">
        <v>29</v>
      </c>
      <c r="N409" s="49" t="s">
        <v>512</v>
      </c>
      <c r="O409" s="49">
        <v>2016</v>
      </c>
      <c r="P409" s="63" t="s">
        <v>31</v>
      </c>
      <c r="Q409" s="63" t="s">
        <v>29</v>
      </c>
      <c r="R409" s="49">
        <v>0</v>
      </c>
      <c r="S409" s="179">
        <v>0</v>
      </c>
      <c r="T409" s="49">
        <v>0</v>
      </c>
      <c r="U409" s="179">
        <v>0</v>
      </c>
      <c r="V409" s="179"/>
      <c r="W409" s="49">
        <v>0</v>
      </c>
      <c r="X409" s="179">
        <v>0</v>
      </c>
      <c r="Y409" s="179" t="s">
        <v>29</v>
      </c>
      <c r="Z409" s="45" t="s">
        <v>35</v>
      </c>
      <c r="AA409" s="49" t="s">
        <v>23</v>
      </c>
      <c r="AB409" s="49" t="s">
        <v>23</v>
      </c>
      <c r="AC409" s="46" t="s">
        <v>72</v>
      </c>
      <c r="AD409" s="46" t="s">
        <v>27</v>
      </c>
      <c r="AE409" s="46" t="s">
        <v>89</v>
      </c>
      <c r="AF409" s="46" t="s">
        <v>29</v>
      </c>
      <c r="AG409" s="179">
        <v>31790</v>
      </c>
      <c r="AH409" s="179">
        <v>21338</v>
      </c>
      <c r="AI409" s="179">
        <v>21338</v>
      </c>
      <c r="AJ409" s="52">
        <v>100</v>
      </c>
      <c r="AK409" s="174">
        <v>200</v>
      </c>
      <c r="AL409" s="102">
        <v>100</v>
      </c>
      <c r="AM409" s="179" t="s">
        <v>23</v>
      </c>
      <c r="AN409" s="179">
        <v>100</v>
      </c>
      <c r="AO409" s="53">
        <v>0</v>
      </c>
      <c r="AP409" s="177">
        <v>10418</v>
      </c>
      <c r="AQ409" s="179">
        <v>32.799999999999997</v>
      </c>
      <c r="AR409" s="177">
        <v>42</v>
      </c>
      <c r="AS409" s="179">
        <v>0.2</v>
      </c>
      <c r="AT409" s="179"/>
      <c r="AU409" s="179"/>
      <c r="AV409" s="179"/>
      <c r="AW409" s="179"/>
      <c r="AX409" s="177">
        <v>9646</v>
      </c>
      <c r="AY409" s="179">
        <v>45.1</v>
      </c>
      <c r="AZ409" s="177">
        <v>9112</v>
      </c>
      <c r="BA409" s="179">
        <v>42.6</v>
      </c>
      <c r="BB409" s="177">
        <v>534</v>
      </c>
      <c r="BC409" s="179">
        <v>2.5</v>
      </c>
      <c r="BD409" s="177">
        <v>616</v>
      </c>
      <c r="BE409" s="179">
        <v>2.9</v>
      </c>
      <c r="BF409" s="177">
        <v>10129</v>
      </c>
      <c r="BG409" s="179">
        <v>47.4</v>
      </c>
      <c r="BH409" s="177"/>
      <c r="BI409" s="179"/>
      <c r="BJ409" s="179"/>
      <c r="BK409" s="179"/>
      <c r="BL409" s="179"/>
      <c r="BM409" s="179"/>
      <c r="BN409" s="108"/>
      <c r="BO409" s="179"/>
      <c r="BP409" s="179"/>
      <c r="BQ409" s="179"/>
      <c r="BR409" s="179" t="s">
        <v>967</v>
      </c>
      <c r="BS409" s="54" t="s">
        <v>29</v>
      </c>
      <c r="BT409" s="45" t="str">
        <f t="shared" si="202"/>
        <v>No</v>
      </c>
      <c r="BU409" s="45" t="str">
        <f t="shared" si="203"/>
        <v>No</v>
      </c>
      <c r="BV409" s="45" t="str">
        <f t="shared" si="204"/>
        <v>No</v>
      </c>
      <c r="BW409" s="179"/>
      <c r="BX409" s="179"/>
      <c r="BY409" s="179"/>
      <c r="BZ409" s="179"/>
      <c r="CA409" s="179"/>
      <c r="CB409" s="179"/>
      <c r="CC409" s="46" t="s">
        <v>334</v>
      </c>
      <c r="CD409" s="46" t="s">
        <v>71</v>
      </c>
      <c r="CE409" s="46" t="s">
        <v>783</v>
      </c>
      <c r="CF409" s="46">
        <v>1</v>
      </c>
      <c r="CG409" s="46" t="s">
        <v>29</v>
      </c>
      <c r="CH409" s="46" t="s">
        <v>35</v>
      </c>
      <c r="CI409" s="181">
        <v>0</v>
      </c>
      <c r="CJ409" s="46">
        <v>20</v>
      </c>
      <c r="CK409" s="46" t="s">
        <v>23</v>
      </c>
      <c r="CL409" s="49" t="s">
        <v>29</v>
      </c>
      <c r="CM409" s="50">
        <v>0</v>
      </c>
      <c r="CN409" s="179"/>
      <c r="CO409" s="179"/>
      <c r="CP409" s="46" t="s">
        <v>35</v>
      </c>
      <c r="CQ409" s="46" t="s">
        <v>24</v>
      </c>
      <c r="CR409" s="46">
        <v>7</v>
      </c>
      <c r="CS409" s="46" t="s">
        <v>854</v>
      </c>
      <c r="CT409" s="46" t="s">
        <v>53</v>
      </c>
      <c r="CU409" s="46" t="s">
        <v>74</v>
      </c>
      <c r="CV409" s="179"/>
      <c r="CW409" s="179"/>
      <c r="CX409" s="179"/>
      <c r="CY409" s="179"/>
      <c r="CZ409" s="179"/>
      <c r="DA409" s="179"/>
      <c r="DB409" s="179"/>
      <c r="DC409" s="179"/>
      <c r="DD409" s="179"/>
      <c r="DE409" s="179"/>
      <c r="DF409" s="179"/>
      <c r="DG409" s="179"/>
      <c r="DH409" s="179"/>
      <c r="DI409" s="179"/>
      <c r="DJ409" s="179"/>
      <c r="DK409" s="34"/>
      <c r="DL409" s="179"/>
      <c r="DM409" s="179"/>
      <c r="DN409" s="179"/>
      <c r="DO409" s="179"/>
      <c r="DP409" s="179"/>
      <c r="DQ409" s="179"/>
      <c r="DR409" s="179"/>
      <c r="DS409" s="179"/>
      <c r="DT409" s="179"/>
      <c r="DU409" s="179"/>
      <c r="DV409" s="179"/>
      <c r="DW409" s="179"/>
      <c r="DX409" s="179"/>
      <c r="DY409" s="179"/>
      <c r="DZ409" s="179"/>
    </row>
    <row r="410" spans="1:130" s="5" customFormat="1" ht="14.25" hidden="1" customHeight="1">
      <c r="A410" s="45">
        <v>1404</v>
      </c>
      <c r="B410" s="46" t="s">
        <v>357</v>
      </c>
      <c r="C410" s="47">
        <v>2000</v>
      </c>
      <c r="D410" s="47" t="s">
        <v>368</v>
      </c>
      <c r="E410" s="46" t="s">
        <v>369</v>
      </c>
      <c r="F410" s="46">
        <v>4</v>
      </c>
      <c r="G410" s="48">
        <v>15000</v>
      </c>
      <c r="H410" s="46" t="s">
        <v>332</v>
      </c>
      <c r="I410" s="46">
        <v>1</v>
      </c>
      <c r="J410" s="46">
        <v>2</v>
      </c>
      <c r="K410" s="49" t="s">
        <v>379</v>
      </c>
      <c r="L410" s="49" t="s">
        <v>30</v>
      </c>
      <c r="M410" s="49" t="s">
        <v>29</v>
      </c>
      <c r="N410" s="49" t="s">
        <v>512</v>
      </c>
      <c r="O410" s="49"/>
      <c r="P410" s="49" t="s">
        <v>857</v>
      </c>
      <c r="Q410" s="49" t="s">
        <v>35</v>
      </c>
      <c r="R410" s="49">
        <v>0</v>
      </c>
      <c r="S410" s="50">
        <f t="shared" ref="S410:S441" si="206">(R410/J410)*100</f>
        <v>0</v>
      </c>
      <c r="T410" s="49">
        <v>2</v>
      </c>
      <c r="U410" s="50">
        <f t="shared" ref="U410:U441" si="207">(T410/J410)*100</f>
        <v>100</v>
      </c>
      <c r="V410" s="49" t="s">
        <v>794</v>
      </c>
      <c r="W410" s="49">
        <v>0</v>
      </c>
      <c r="X410" s="50">
        <f t="shared" ref="X410:X441" si="208">(W410/J410)*100</f>
        <v>0</v>
      </c>
      <c r="Y410" s="51" t="str">
        <f t="shared" ref="Y410:Y441" si="209">IF(L410="M","No", IF(P410="n/a","No",IF(P410="white","No","Yes")))</f>
        <v>No</v>
      </c>
      <c r="Z410" s="45" t="s">
        <v>35</v>
      </c>
      <c r="AA410" s="49" t="s">
        <v>23</v>
      </c>
      <c r="AB410" s="49" t="s">
        <v>23</v>
      </c>
      <c r="AC410" s="46" t="s">
        <v>26</v>
      </c>
      <c r="AD410" s="46" t="s">
        <v>27</v>
      </c>
      <c r="AE410" s="46" t="s">
        <v>89</v>
      </c>
      <c r="AF410" s="46" t="s">
        <v>29</v>
      </c>
      <c r="AG410" s="106">
        <v>52886</v>
      </c>
      <c r="AH410" s="64">
        <f>SUM(28604+16632)</f>
        <v>45236</v>
      </c>
      <c r="AI410" s="64">
        <f>SUM(28604+16632)</f>
        <v>45236</v>
      </c>
      <c r="AJ410" s="102">
        <v>63.23</v>
      </c>
      <c r="AK410" s="104">
        <v>126.46</v>
      </c>
      <c r="AL410" s="102">
        <v>63.23</v>
      </c>
      <c r="AM410" s="102"/>
      <c r="AN410" s="53">
        <f t="shared" ref="AN410:AN441" si="210">AL410/(1/(I410+1))</f>
        <v>126.46</v>
      </c>
      <c r="AO410" s="53">
        <v>36.770000000000003</v>
      </c>
      <c r="AP410" s="102">
        <f t="shared" ref="AP410:AP433" si="211">AG410-AI410</f>
        <v>7650</v>
      </c>
      <c r="AQ410" s="102">
        <f t="shared" ref="AQ410:AQ433" si="212">AP410/AG410 *100</f>
        <v>14.46507582346935</v>
      </c>
      <c r="AR410" s="50"/>
      <c r="AS410" s="50"/>
      <c r="AT410" s="102"/>
      <c r="AU410" s="102"/>
      <c r="AV410" s="50"/>
      <c r="AW410" s="50"/>
      <c r="AX410" s="50"/>
      <c r="AY410" s="50"/>
      <c r="AZ410" s="102"/>
      <c r="BA410" s="102"/>
      <c r="BB410" s="102"/>
      <c r="BC410" s="102"/>
      <c r="BD410" s="50"/>
      <c r="BE410" s="50"/>
      <c r="BF410" s="50"/>
      <c r="BG410" s="50"/>
      <c r="BH410" s="102"/>
      <c r="BI410" s="102"/>
      <c r="BJ410" s="50"/>
      <c r="BK410" s="50"/>
      <c r="BL410" s="50"/>
      <c r="BM410" s="50"/>
      <c r="BN410" s="102"/>
      <c r="BO410" s="50"/>
      <c r="BP410" s="50"/>
      <c r="BQ410" s="50"/>
      <c r="BR410" s="102"/>
      <c r="BS410" s="54" t="s">
        <v>23</v>
      </c>
      <c r="BT410" s="45" t="str">
        <f t="shared" si="202"/>
        <v>Yes</v>
      </c>
      <c r="BU410" s="45" t="str">
        <f t="shared" si="203"/>
        <v>No</v>
      </c>
      <c r="BV410" s="45" t="str">
        <f t="shared" si="204"/>
        <v>No</v>
      </c>
      <c r="BW410" s="55">
        <f t="shared" ref="BW410:BW417" si="213">(31291/(31291+19293))*100</f>
        <v>61.859481258896096</v>
      </c>
      <c r="BX410" s="55"/>
      <c r="BY410" s="55">
        <v>61.604481258896094</v>
      </c>
      <c r="BZ410" s="55"/>
      <c r="CA410" s="45">
        <v>2000</v>
      </c>
      <c r="CB410" s="55">
        <f t="shared" ref="CB410:CB441" si="214">((AI410/I410)/DB410)*100</f>
        <v>42.258863094960063</v>
      </c>
      <c r="CC410" s="46" t="s">
        <v>355</v>
      </c>
      <c r="CD410" s="46" t="s">
        <v>179</v>
      </c>
      <c r="CE410" s="46" t="s">
        <v>179</v>
      </c>
      <c r="CF410" s="46">
        <v>1</v>
      </c>
      <c r="CG410" s="46" t="str">
        <f t="shared" ref="CG410:CG441" si="215">IF(CD410="Primary (decisive)", "Yes", "No")</f>
        <v>No</v>
      </c>
      <c r="CH410" s="46" t="s">
        <v>35</v>
      </c>
      <c r="CI410" s="56">
        <v>0</v>
      </c>
      <c r="CJ410" s="46">
        <v>20</v>
      </c>
      <c r="CK410" s="46" t="s">
        <v>23</v>
      </c>
      <c r="CL410" s="49" t="s">
        <v>29</v>
      </c>
      <c r="CM410" s="50">
        <v>0</v>
      </c>
      <c r="CN410" s="50"/>
      <c r="CO410" s="50"/>
      <c r="CP410" s="46" t="s">
        <v>35</v>
      </c>
      <c r="CQ410" s="46" t="s">
        <v>24</v>
      </c>
      <c r="CR410" s="46">
        <v>7</v>
      </c>
      <c r="CS410" s="46" t="s">
        <v>854</v>
      </c>
      <c r="CT410" s="46" t="s">
        <v>53</v>
      </c>
      <c r="CU410" s="46" t="s">
        <v>29</v>
      </c>
      <c r="CV410" s="46" t="s">
        <v>23</v>
      </c>
      <c r="CW410" s="46" t="s">
        <v>23</v>
      </c>
      <c r="CX410" s="49" t="s">
        <v>561</v>
      </c>
      <c r="CY410" s="49" t="s">
        <v>59</v>
      </c>
      <c r="CZ410" s="49">
        <v>0</v>
      </c>
      <c r="DA410" s="49">
        <v>0</v>
      </c>
      <c r="DB410" s="64">
        <v>107045</v>
      </c>
      <c r="DC410" s="58">
        <v>31.46</v>
      </c>
      <c r="DD410" s="58">
        <v>2.7</v>
      </c>
      <c r="DE410" s="58">
        <v>48.82</v>
      </c>
      <c r="DF410" s="58">
        <v>14.27</v>
      </c>
      <c r="DG410" s="58">
        <v>2.7499999999999858</v>
      </c>
      <c r="DH410" s="58">
        <v>68.540000000000006</v>
      </c>
      <c r="DI410" s="45" t="s">
        <v>35</v>
      </c>
      <c r="DJ410" s="59" t="str">
        <f t="shared" ref="DJ410:DJ441" si="216">IF(DH410&lt;50,"N/A",IF(DD410&gt;50,"African American",IF(DE410&gt;50,"Latino",IF(DF410&gt;50,"Asian","No single majority group"))))</f>
        <v>No single majority group</v>
      </c>
      <c r="DK410" s="65">
        <v>16139</v>
      </c>
      <c r="DL410" s="58">
        <v>61.319999999999993</v>
      </c>
      <c r="DM410" s="58">
        <v>10.43</v>
      </c>
      <c r="DN410" s="58">
        <v>10.74</v>
      </c>
      <c r="DO410" s="58">
        <v>74.819999999999993</v>
      </c>
      <c r="DP410" s="66">
        <v>48.2</v>
      </c>
      <c r="DQ410" s="67">
        <v>59681.67</v>
      </c>
      <c r="DR410" s="53">
        <v>19.8</v>
      </c>
      <c r="DS410" s="58">
        <v>56.6</v>
      </c>
      <c r="DT410" s="53">
        <v>49.3</v>
      </c>
      <c r="DU410" s="55">
        <v>4.55</v>
      </c>
      <c r="DV410" s="50">
        <v>26.5</v>
      </c>
      <c r="DW410" s="53">
        <v>43.2</v>
      </c>
      <c r="DX410" s="53">
        <v>76.667599999999993</v>
      </c>
      <c r="DY410" s="53">
        <v>44.3</v>
      </c>
      <c r="DZ410" s="63"/>
    </row>
    <row r="411" spans="1:130" s="5" customFormat="1" ht="14.25" hidden="1" customHeight="1">
      <c r="A411" s="45">
        <v>1405</v>
      </c>
      <c r="B411" s="46" t="s">
        <v>357</v>
      </c>
      <c r="C411" s="47">
        <v>2000</v>
      </c>
      <c r="D411" s="47" t="s">
        <v>371</v>
      </c>
      <c r="E411" s="46" t="s">
        <v>372</v>
      </c>
      <c r="F411" s="46">
        <v>4</v>
      </c>
      <c r="G411" s="48">
        <v>15000</v>
      </c>
      <c r="H411" s="46" t="s">
        <v>332</v>
      </c>
      <c r="I411" s="46">
        <v>1</v>
      </c>
      <c r="J411" s="46">
        <v>4</v>
      </c>
      <c r="K411" s="49" t="s">
        <v>383</v>
      </c>
      <c r="L411" s="49" t="s">
        <v>30</v>
      </c>
      <c r="M411" s="49" t="s">
        <v>29</v>
      </c>
      <c r="N411" s="49" t="s">
        <v>513</v>
      </c>
      <c r="O411" s="49"/>
      <c r="P411" s="49" t="s">
        <v>31</v>
      </c>
      <c r="Q411" s="49" t="s">
        <v>29</v>
      </c>
      <c r="R411" s="49">
        <v>1</v>
      </c>
      <c r="S411" s="50">
        <f t="shared" si="206"/>
        <v>25</v>
      </c>
      <c r="T411" s="49">
        <v>1</v>
      </c>
      <c r="U411" s="50">
        <f t="shared" si="207"/>
        <v>25</v>
      </c>
      <c r="V411" s="49" t="s">
        <v>789</v>
      </c>
      <c r="W411" s="49">
        <v>0</v>
      </c>
      <c r="X411" s="50">
        <f t="shared" si="208"/>
        <v>0</v>
      </c>
      <c r="Y411" s="51" t="str">
        <f t="shared" si="209"/>
        <v>No</v>
      </c>
      <c r="Z411" s="45" t="s">
        <v>29</v>
      </c>
      <c r="AA411" s="49" t="s">
        <v>29</v>
      </c>
      <c r="AB411" s="45"/>
      <c r="AC411" s="46" t="s">
        <v>26</v>
      </c>
      <c r="AD411" s="46" t="s">
        <v>27</v>
      </c>
      <c r="AE411" s="46" t="s">
        <v>89</v>
      </c>
      <c r="AF411" s="46" t="s">
        <v>29</v>
      </c>
      <c r="AG411" s="106">
        <v>52886</v>
      </c>
      <c r="AH411" s="64">
        <f>SUM(20370+13115+10173+2937+17)</f>
        <v>46612</v>
      </c>
      <c r="AI411" s="64">
        <f>SUM(20370+13115+10173+2937+17)</f>
        <v>46612</v>
      </c>
      <c r="AJ411" s="102">
        <v>43.72</v>
      </c>
      <c r="AK411" s="104">
        <v>87.44</v>
      </c>
      <c r="AL411" s="102">
        <v>43.72</v>
      </c>
      <c r="AM411" s="102"/>
      <c r="AN411" s="53">
        <f t="shared" si="210"/>
        <v>87.44</v>
      </c>
      <c r="AO411" s="53">
        <v>28.15</v>
      </c>
      <c r="AP411" s="102">
        <f t="shared" si="211"/>
        <v>6274</v>
      </c>
      <c r="AQ411" s="102">
        <f t="shared" si="212"/>
        <v>11.863253034829633</v>
      </c>
      <c r="AR411" s="50"/>
      <c r="AS411" s="50"/>
      <c r="AT411" s="102"/>
      <c r="AU411" s="102"/>
      <c r="AV411" s="50"/>
      <c r="AW411" s="50"/>
      <c r="AX411" s="50"/>
      <c r="AY411" s="50"/>
      <c r="AZ411" s="102"/>
      <c r="BA411" s="102"/>
      <c r="BB411" s="102"/>
      <c r="BC411" s="102"/>
      <c r="BD411" s="50"/>
      <c r="BE411" s="50"/>
      <c r="BF411" s="50"/>
      <c r="BG411" s="50"/>
      <c r="BH411" s="102"/>
      <c r="BI411" s="102"/>
      <c r="BJ411" s="50"/>
      <c r="BK411" s="50"/>
      <c r="BL411" s="50"/>
      <c r="BM411" s="50"/>
      <c r="BN411" s="102"/>
      <c r="BO411" s="50"/>
      <c r="BP411" s="50"/>
      <c r="BQ411" s="50"/>
      <c r="BR411" s="102"/>
      <c r="BS411" s="54" t="s">
        <v>23</v>
      </c>
      <c r="BT411" s="45" t="str">
        <f t="shared" si="202"/>
        <v>Yes</v>
      </c>
      <c r="BU411" s="45" t="str">
        <f t="shared" si="203"/>
        <v>No</v>
      </c>
      <c r="BV411" s="45" t="str">
        <f t="shared" si="204"/>
        <v>No</v>
      </c>
      <c r="BW411" s="55">
        <f t="shared" si="213"/>
        <v>61.859481258896096</v>
      </c>
      <c r="BX411" s="55"/>
      <c r="BY411" s="55">
        <v>61.604481258896094</v>
      </c>
      <c r="BZ411" s="55"/>
      <c r="CA411" s="45">
        <v>2000</v>
      </c>
      <c r="CB411" s="55">
        <f t="shared" si="214"/>
        <v>43.544303797468352</v>
      </c>
      <c r="CC411" s="46" t="s">
        <v>355</v>
      </c>
      <c r="CD411" s="46" t="s">
        <v>179</v>
      </c>
      <c r="CE411" s="46" t="s">
        <v>179</v>
      </c>
      <c r="CF411" s="46">
        <v>1</v>
      </c>
      <c r="CG411" s="46" t="str">
        <f t="shared" si="215"/>
        <v>No</v>
      </c>
      <c r="CH411" s="46" t="s">
        <v>35</v>
      </c>
      <c r="CI411" s="56">
        <v>0</v>
      </c>
      <c r="CJ411" s="46">
        <v>20</v>
      </c>
      <c r="CK411" s="46" t="s">
        <v>23</v>
      </c>
      <c r="CL411" s="49" t="s">
        <v>29</v>
      </c>
      <c r="CM411" s="50">
        <v>0</v>
      </c>
      <c r="CN411" s="50"/>
      <c r="CO411" s="50"/>
      <c r="CP411" s="46" t="s">
        <v>35</v>
      </c>
      <c r="CQ411" s="46" t="s">
        <v>24</v>
      </c>
      <c r="CR411" s="46">
        <v>7</v>
      </c>
      <c r="CS411" s="46" t="s">
        <v>854</v>
      </c>
      <c r="CT411" s="46" t="s">
        <v>53</v>
      </c>
      <c r="CU411" s="46" t="s">
        <v>29</v>
      </c>
      <c r="CV411" s="46" t="s">
        <v>23</v>
      </c>
      <c r="CW411" s="46" t="s">
        <v>23</v>
      </c>
      <c r="CX411" s="49" t="s">
        <v>561</v>
      </c>
      <c r="CY411" s="49" t="s">
        <v>59</v>
      </c>
      <c r="CZ411" s="49">
        <v>0</v>
      </c>
      <c r="DA411" s="49">
        <v>0</v>
      </c>
      <c r="DB411" s="64">
        <v>107045</v>
      </c>
      <c r="DC411" s="58">
        <v>31.46</v>
      </c>
      <c r="DD411" s="58">
        <v>2.7</v>
      </c>
      <c r="DE411" s="58">
        <v>48.82</v>
      </c>
      <c r="DF411" s="58">
        <v>14.27</v>
      </c>
      <c r="DG411" s="58">
        <v>2.7499999999999858</v>
      </c>
      <c r="DH411" s="58">
        <v>68.540000000000006</v>
      </c>
      <c r="DI411" s="45" t="s">
        <v>35</v>
      </c>
      <c r="DJ411" s="59" t="str">
        <f t="shared" si="216"/>
        <v>No single majority group</v>
      </c>
      <c r="DK411" s="65">
        <v>26343</v>
      </c>
      <c r="DL411" s="58">
        <v>49.99</v>
      </c>
      <c r="DM411" s="58">
        <v>2.7199999999999998</v>
      </c>
      <c r="DN411" s="58">
        <v>32.07</v>
      </c>
      <c r="DO411" s="58">
        <v>50.01</v>
      </c>
      <c r="DP411" s="66">
        <v>48.2</v>
      </c>
      <c r="DQ411" s="67">
        <v>59681.67</v>
      </c>
      <c r="DR411" s="53">
        <v>19.8</v>
      </c>
      <c r="DS411" s="58">
        <v>56.6</v>
      </c>
      <c r="DT411" s="53">
        <v>49.3</v>
      </c>
      <c r="DU411" s="55">
        <v>4.55</v>
      </c>
      <c r="DV411" s="50">
        <v>26.5</v>
      </c>
      <c r="DW411" s="53">
        <v>43.2</v>
      </c>
      <c r="DX411" s="53">
        <v>76.667599999999993</v>
      </c>
      <c r="DY411" s="53">
        <v>44.3</v>
      </c>
      <c r="DZ411" s="63"/>
    </row>
    <row r="412" spans="1:130" s="5" customFormat="1" ht="14.25" hidden="1" customHeight="1">
      <c r="A412" s="45">
        <v>1406</v>
      </c>
      <c r="B412" s="46" t="s">
        <v>357</v>
      </c>
      <c r="C412" s="47">
        <v>2000</v>
      </c>
      <c r="D412" s="47" t="s">
        <v>374</v>
      </c>
      <c r="E412" s="46" t="s">
        <v>375</v>
      </c>
      <c r="F412" s="46">
        <v>4</v>
      </c>
      <c r="G412" s="48">
        <v>15000</v>
      </c>
      <c r="H412" s="46" t="s">
        <v>332</v>
      </c>
      <c r="I412" s="46">
        <v>1</v>
      </c>
      <c r="J412" s="46">
        <v>2</v>
      </c>
      <c r="K412" s="49" t="s">
        <v>378</v>
      </c>
      <c r="L412" s="49" t="s">
        <v>40</v>
      </c>
      <c r="M412" s="49" t="s">
        <v>35</v>
      </c>
      <c r="N412" s="49" t="s">
        <v>512</v>
      </c>
      <c r="O412" s="49"/>
      <c r="P412" s="49" t="s">
        <v>857</v>
      </c>
      <c r="Q412" s="49" t="s">
        <v>35</v>
      </c>
      <c r="R412" s="49">
        <v>2</v>
      </c>
      <c r="S412" s="50">
        <f t="shared" si="206"/>
        <v>100</v>
      </c>
      <c r="T412" s="49">
        <v>1</v>
      </c>
      <c r="U412" s="50">
        <f t="shared" si="207"/>
        <v>50</v>
      </c>
      <c r="V412" s="49" t="s">
        <v>789</v>
      </c>
      <c r="W412" s="49">
        <v>1</v>
      </c>
      <c r="X412" s="50">
        <f t="shared" si="208"/>
        <v>50</v>
      </c>
      <c r="Y412" s="51" t="str">
        <f t="shared" si="209"/>
        <v>Yes</v>
      </c>
      <c r="Z412" s="45" t="s">
        <v>35</v>
      </c>
      <c r="AA412" s="49" t="s">
        <v>23</v>
      </c>
      <c r="AB412" s="49" t="s">
        <v>23</v>
      </c>
      <c r="AC412" s="46" t="s">
        <v>26</v>
      </c>
      <c r="AD412" s="46" t="s">
        <v>27</v>
      </c>
      <c r="AE412" s="46" t="s">
        <v>89</v>
      </c>
      <c r="AF412" s="46" t="s">
        <v>29</v>
      </c>
      <c r="AG412" s="106">
        <v>52886</v>
      </c>
      <c r="AH412" s="64">
        <f>SUM(25252+21106)</f>
        <v>46358</v>
      </c>
      <c r="AI412" s="64">
        <f>SUM(25252+21106)</f>
        <v>46358</v>
      </c>
      <c r="AJ412" s="102">
        <v>54.47</v>
      </c>
      <c r="AK412" s="104">
        <v>108.94</v>
      </c>
      <c r="AL412" s="102">
        <v>54.47</v>
      </c>
      <c r="AM412" s="102"/>
      <c r="AN412" s="53">
        <f t="shared" si="210"/>
        <v>108.94</v>
      </c>
      <c r="AO412" s="53">
        <v>45.53</v>
      </c>
      <c r="AP412" s="102">
        <f t="shared" si="211"/>
        <v>6528</v>
      </c>
      <c r="AQ412" s="102">
        <f t="shared" si="212"/>
        <v>12.343531369360511</v>
      </c>
      <c r="AR412" s="50"/>
      <c r="AS412" s="50"/>
      <c r="AT412" s="102"/>
      <c r="AU412" s="102"/>
      <c r="AV412" s="50"/>
      <c r="AW412" s="50"/>
      <c r="AX412" s="50"/>
      <c r="AY412" s="50"/>
      <c r="AZ412" s="102"/>
      <c r="BA412" s="102"/>
      <c r="BB412" s="102"/>
      <c r="BC412" s="102"/>
      <c r="BD412" s="50"/>
      <c r="BE412" s="50"/>
      <c r="BF412" s="50"/>
      <c r="BG412" s="50"/>
      <c r="BH412" s="102"/>
      <c r="BI412" s="102"/>
      <c r="BJ412" s="50"/>
      <c r="BK412" s="50"/>
      <c r="BL412" s="50"/>
      <c r="BM412" s="50"/>
      <c r="BN412" s="102"/>
      <c r="BO412" s="102"/>
      <c r="BP412" s="102"/>
      <c r="BQ412" s="102"/>
      <c r="BR412" s="102"/>
      <c r="BS412" s="54" t="s">
        <v>23</v>
      </c>
      <c r="BT412" s="45" t="str">
        <f t="shared" si="202"/>
        <v>Yes</v>
      </c>
      <c r="BU412" s="45" t="str">
        <f t="shared" si="203"/>
        <v>Yes</v>
      </c>
      <c r="BV412" s="45" t="str">
        <f t="shared" si="204"/>
        <v>No</v>
      </c>
      <c r="BW412" s="55">
        <f t="shared" si="213"/>
        <v>61.859481258896096</v>
      </c>
      <c r="BX412" s="55"/>
      <c r="BY412" s="55">
        <v>61.604481258896094</v>
      </c>
      <c r="BZ412" s="55"/>
      <c r="CA412" s="45">
        <v>2000</v>
      </c>
      <c r="CB412" s="55">
        <f t="shared" si="214"/>
        <v>43.307020411976268</v>
      </c>
      <c r="CC412" s="46" t="s">
        <v>355</v>
      </c>
      <c r="CD412" s="46" t="s">
        <v>179</v>
      </c>
      <c r="CE412" s="46" t="s">
        <v>179</v>
      </c>
      <c r="CF412" s="46">
        <v>1</v>
      </c>
      <c r="CG412" s="46" t="str">
        <f t="shared" si="215"/>
        <v>No</v>
      </c>
      <c r="CH412" s="46" t="s">
        <v>35</v>
      </c>
      <c r="CI412" s="56">
        <v>0</v>
      </c>
      <c r="CJ412" s="46">
        <v>20</v>
      </c>
      <c r="CK412" s="46" t="s">
        <v>23</v>
      </c>
      <c r="CL412" s="49" t="s">
        <v>29</v>
      </c>
      <c r="CM412" s="50">
        <v>0</v>
      </c>
      <c r="CN412" s="50"/>
      <c r="CO412" s="50"/>
      <c r="CP412" s="46" t="s">
        <v>35</v>
      </c>
      <c r="CQ412" s="46" t="s">
        <v>24</v>
      </c>
      <c r="CR412" s="46">
        <v>7</v>
      </c>
      <c r="CS412" s="46" t="s">
        <v>854</v>
      </c>
      <c r="CT412" s="46" t="s">
        <v>53</v>
      </c>
      <c r="CU412" s="46" t="s">
        <v>29</v>
      </c>
      <c r="CV412" s="46" t="s">
        <v>23</v>
      </c>
      <c r="CW412" s="46" t="s">
        <v>23</v>
      </c>
      <c r="CX412" s="49" t="s">
        <v>561</v>
      </c>
      <c r="CY412" s="49" t="s">
        <v>59</v>
      </c>
      <c r="CZ412" s="49">
        <v>0</v>
      </c>
      <c r="DA412" s="49">
        <v>0</v>
      </c>
      <c r="DB412" s="64">
        <v>107045</v>
      </c>
      <c r="DC412" s="58">
        <v>31.46</v>
      </c>
      <c r="DD412" s="58">
        <v>2.7</v>
      </c>
      <c r="DE412" s="58">
        <v>48.82</v>
      </c>
      <c r="DF412" s="58">
        <v>14.27</v>
      </c>
      <c r="DG412" s="58">
        <v>2.7499999999999858</v>
      </c>
      <c r="DH412" s="58">
        <v>68.540000000000006</v>
      </c>
      <c r="DI412" s="45" t="s">
        <v>35</v>
      </c>
      <c r="DJ412" s="59" t="str">
        <f t="shared" si="216"/>
        <v>No single majority group</v>
      </c>
      <c r="DK412" s="65">
        <v>15733</v>
      </c>
      <c r="DL412" s="58">
        <v>68.25</v>
      </c>
      <c r="DM412" s="58">
        <v>1.48</v>
      </c>
      <c r="DN412" s="58">
        <v>7.04</v>
      </c>
      <c r="DO412" s="58">
        <v>77.510000000000005</v>
      </c>
      <c r="DP412" s="66">
        <v>48.2</v>
      </c>
      <c r="DQ412" s="67">
        <v>59681.67</v>
      </c>
      <c r="DR412" s="53">
        <v>19.8</v>
      </c>
      <c r="DS412" s="58">
        <v>56.6</v>
      </c>
      <c r="DT412" s="53">
        <v>49.3</v>
      </c>
      <c r="DU412" s="55">
        <v>4.55</v>
      </c>
      <c r="DV412" s="50">
        <v>26.5</v>
      </c>
      <c r="DW412" s="53">
        <v>43.2</v>
      </c>
      <c r="DX412" s="53">
        <v>76.667599999999993</v>
      </c>
      <c r="DY412" s="53">
        <v>44.3</v>
      </c>
      <c r="DZ412" s="63"/>
    </row>
    <row r="413" spans="1:130" s="5" customFormat="1" ht="14.25" hidden="1" customHeight="1">
      <c r="A413" s="45">
        <v>1403</v>
      </c>
      <c r="B413" s="46" t="s">
        <v>357</v>
      </c>
      <c r="C413" s="47">
        <v>2000</v>
      </c>
      <c r="D413" s="47" t="s">
        <v>38</v>
      </c>
      <c r="E413" s="46" t="s">
        <v>22</v>
      </c>
      <c r="F413" s="46">
        <v>2</v>
      </c>
      <c r="G413" s="48">
        <v>17000</v>
      </c>
      <c r="H413" s="46" t="s">
        <v>332</v>
      </c>
      <c r="I413" s="46">
        <v>1</v>
      </c>
      <c r="J413" s="46">
        <v>3</v>
      </c>
      <c r="K413" s="84" t="s">
        <v>358</v>
      </c>
      <c r="L413" s="49" t="s">
        <v>30</v>
      </c>
      <c r="M413" s="49" t="s">
        <v>29</v>
      </c>
      <c r="N413" s="49" t="s">
        <v>513</v>
      </c>
      <c r="O413" s="49"/>
      <c r="P413" s="49" t="s">
        <v>857</v>
      </c>
      <c r="Q413" s="49" t="s">
        <v>35</v>
      </c>
      <c r="R413" s="49">
        <v>0</v>
      </c>
      <c r="S413" s="50">
        <f t="shared" si="206"/>
        <v>0</v>
      </c>
      <c r="T413" s="49">
        <v>1</v>
      </c>
      <c r="U413" s="50">
        <f t="shared" si="207"/>
        <v>33.333333333333329</v>
      </c>
      <c r="V413" s="49" t="s">
        <v>789</v>
      </c>
      <c r="W413" s="49">
        <v>0</v>
      </c>
      <c r="X413" s="50">
        <f t="shared" si="208"/>
        <v>0</v>
      </c>
      <c r="Y413" s="51" t="str">
        <f t="shared" si="209"/>
        <v>No</v>
      </c>
      <c r="Z413" s="49" t="s">
        <v>29</v>
      </c>
      <c r="AA413" s="49" t="s">
        <v>35</v>
      </c>
      <c r="AB413" s="49" t="s">
        <v>29</v>
      </c>
      <c r="AC413" s="46" t="s">
        <v>26</v>
      </c>
      <c r="AD413" s="46" t="s">
        <v>27</v>
      </c>
      <c r="AE413" s="46" t="s">
        <v>89</v>
      </c>
      <c r="AF413" s="46" t="s">
        <v>29</v>
      </c>
      <c r="AG413" s="106">
        <v>52886</v>
      </c>
      <c r="AH413" s="64">
        <f>SUM(34102+8025+5733)</f>
        <v>47860</v>
      </c>
      <c r="AI413" s="64">
        <f>SUM(34102+8025+5733)</f>
        <v>47860</v>
      </c>
      <c r="AJ413" s="102">
        <v>71.25</v>
      </c>
      <c r="AK413" s="104">
        <v>142.5</v>
      </c>
      <c r="AL413" s="102">
        <v>71.25</v>
      </c>
      <c r="AM413" s="102"/>
      <c r="AN413" s="53">
        <f t="shared" si="210"/>
        <v>142.5</v>
      </c>
      <c r="AO413" s="53">
        <v>16.77</v>
      </c>
      <c r="AP413" s="102">
        <f t="shared" si="211"/>
        <v>5026</v>
      </c>
      <c r="AQ413" s="102">
        <f t="shared" si="212"/>
        <v>9.5034602730401243</v>
      </c>
      <c r="AR413" s="102"/>
      <c r="AS413" s="102"/>
      <c r="AT413" s="102"/>
      <c r="AU413" s="102"/>
      <c r="AV413" s="102"/>
      <c r="AW413" s="102"/>
      <c r="AX413" s="102"/>
      <c r="AY413" s="102"/>
      <c r="AZ413" s="102"/>
      <c r="BA413" s="102"/>
      <c r="BB413" s="102"/>
      <c r="BC413" s="102"/>
      <c r="BD413" s="102"/>
      <c r="BE413" s="102"/>
      <c r="BF413" s="102"/>
      <c r="BG413" s="102"/>
      <c r="BH413" s="102"/>
      <c r="BI413" s="102"/>
      <c r="BJ413" s="102"/>
      <c r="BK413" s="102"/>
      <c r="BL413" s="102"/>
      <c r="BM413" s="102"/>
      <c r="BN413" s="102"/>
      <c r="BO413" s="102"/>
      <c r="BP413" s="102"/>
      <c r="BQ413" s="102"/>
      <c r="BR413" s="102"/>
      <c r="BS413" s="54" t="s">
        <v>23</v>
      </c>
      <c r="BT413" s="45" t="str">
        <f t="shared" si="202"/>
        <v>No</v>
      </c>
      <c r="BU413" s="45" t="str">
        <f t="shared" si="203"/>
        <v>No</v>
      </c>
      <c r="BV413" s="45" t="str">
        <f t="shared" si="204"/>
        <v>No</v>
      </c>
      <c r="BW413" s="55">
        <f t="shared" si="213"/>
        <v>61.859481258896096</v>
      </c>
      <c r="BX413" s="55">
        <f>(31291/(31291+19293))*100</f>
        <v>61.859481258896096</v>
      </c>
      <c r="BY413" s="55">
        <v>61.604481258896094</v>
      </c>
      <c r="BZ413" s="55">
        <f>BX413-(0.0051*100/2)</f>
        <v>61.604481258896094</v>
      </c>
      <c r="CA413" s="45">
        <v>2000</v>
      </c>
      <c r="CB413" s="55">
        <f t="shared" si="214"/>
        <v>44.710168620673549</v>
      </c>
      <c r="CC413" s="46" t="s">
        <v>39</v>
      </c>
      <c r="CD413" s="46" t="s">
        <v>179</v>
      </c>
      <c r="CE413" s="46" t="s">
        <v>179</v>
      </c>
      <c r="CF413" s="46">
        <v>1</v>
      </c>
      <c r="CG413" s="46" t="str">
        <f t="shared" si="215"/>
        <v>No</v>
      </c>
      <c r="CH413" s="46" t="s">
        <v>35</v>
      </c>
      <c r="CI413" s="56">
        <v>0</v>
      </c>
      <c r="CJ413" s="46">
        <v>20</v>
      </c>
      <c r="CK413" s="46" t="s">
        <v>23</v>
      </c>
      <c r="CL413" s="49" t="s">
        <v>29</v>
      </c>
      <c r="CM413" s="50">
        <v>0</v>
      </c>
      <c r="CN413" s="50"/>
      <c r="CO413" s="50"/>
      <c r="CP413" s="46" t="s">
        <v>23</v>
      </c>
      <c r="CQ413" s="46" t="s">
        <v>23</v>
      </c>
      <c r="CR413" s="46">
        <v>7</v>
      </c>
      <c r="CS413" s="46" t="s">
        <v>854</v>
      </c>
      <c r="CT413" s="46" t="s">
        <v>53</v>
      </c>
      <c r="CU413" s="46" t="s">
        <v>29</v>
      </c>
      <c r="CV413" s="46" t="s">
        <v>23</v>
      </c>
      <c r="CW413" s="46" t="s">
        <v>23</v>
      </c>
      <c r="CX413" s="49" t="s">
        <v>561</v>
      </c>
      <c r="CY413" s="49" t="s">
        <v>59</v>
      </c>
      <c r="CZ413" s="49">
        <v>0</v>
      </c>
      <c r="DA413" s="49">
        <v>0</v>
      </c>
      <c r="DB413" s="64">
        <v>107045</v>
      </c>
      <c r="DC413" s="58">
        <v>31.46</v>
      </c>
      <c r="DD413" s="58">
        <v>2.7</v>
      </c>
      <c r="DE413" s="58">
        <v>48.82</v>
      </c>
      <c r="DF413" s="58">
        <v>14.27</v>
      </c>
      <c r="DG413" s="58">
        <v>2.7499999999999858</v>
      </c>
      <c r="DH413" s="58">
        <v>68.540000000000006</v>
      </c>
      <c r="DI413" s="45" t="s">
        <v>35</v>
      </c>
      <c r="DJ413" s="59" t="str">
        <f t="shared" si="216"/>
        <v>No single majority group</v>
      </c>
      <c r="DK413" s="65">
        <v>26343</v>
      </c>
      <c r="DL413" s="58">
        <v>49.99</v>
      </c>
      <c r="DM413" s="58">
        <v>2.7199999999999998</v>
      </c>
      <c r="DN413" s="58">
        <v>32.07</v>
      </c>
      <c r="DO413" s="58">
        <v>50.01</v>
      </c>
      <c r="DP413" s="66">
        <v>48.2</v>
      </c>
      <c r="DQ413" s="67">
        <v>59681.67</v>
      </c>
      <c r="DR413" s="53">
        <v>19.8</v>
      </c>
      <c r="DS413" s="58">
        <v>56.6</v>
      </c>
      <c r="DT413" s="53">
        <v>49.3</v>
      </c>
      <c r="DU413" s="55">
        <v>4.55</v>
      </c>
      <c r="DV413" s="50">
        <v>26.5</v>
      </c>
      <c r="DW413" s="53">
        <v>43.2</v>
      </c>
      <c r="DX413" s="53">
        <v>76.667599999999993</v>
      </c>
      <c r="DY413" s="53">
        <v>44.3</v>
      </c>
      <c r="DZ413" s="63"/>
    </row>
    <row r="414" spans="1:130" s="5" customFormat="1" ht="14.25" hidden="1" customHeight="1">
      <c r="A414" s="45">
        <v>1400</v>
      </c>
      <c r="B414" s="46" t="s">
        <v>357</v>
      </c>
      <c r="C414" s="47">
        <v>2002</v>
      </c>
      <c r="D414" s="47" t="s">
        <v>359</v>
      </c>
      <c r="E414" s="46" t="s">
        <v>360</v>
      </c>
      <c r="F414" s="46">
        <v>4</v>
      </c>
      <c r="G414" s="48">
        <v>15000</v>
      </c>
      <c r="H414" s="46" t="s">
        <v>332</v>
      </c>
      <c r="I414" s="46">
        <v>1</v>
      </c>
      <c r="J414" s="46">
        <v>2</v>
      </c>
      <c r="K414" s="49" t="s">
        <v>380</v>
      </c>
      <c r="L414" s="49" t="s">
        <v>40</v>
      </c>
      <c r="M414" s="49" t="s">
        <v>35</v>
      </c>
      <c r="N414" s="49" t="s">
        <v>513</v>
      </c>
      <c r="O414" s="49"/>
      <c r="P414" s="49" t="s">
        <v>31</v>
      </c>
      <c r="Q414" s="49" t="s">
        <v>29</v>
      </c>
      <c r="R414" s="49">
        <v>1</v>
      </c>
      <c r="S414" s="50">
        <f t="shared" si="206"/>
        <v>50</v>
      </c>
      <c r="T414" s="49">
        <v>1</v>
      </c>
      <c r="U414" s="50">
        <f t="shared" si="207"/>
        <v>50</v>
      </c>
      <c r="V414" s="49" t="s">
        <v>789</v>
      </c>
      <c r="W414" s="49">
        <v>0</v>
      </c>
      <c r="X414" s="50">
        <f t="shared" si="208"/>
        <v>0</v>
      </c>
      <c r="Y414" s="51" t="str">
        <f t="shared" si="209"/>
        <v>No</v>
      </c>
      <c r="Z414" s="45" t="s">
        <v>29</v>
      </c>
      <c r="AA414" s="49" t="s">
        <v>29</v>
      </c>
      <c r="AB414" s="45"/>
      <c r="AC414" s="46" t="s">
        <v>26</v>
      </c>
      <c r="AD414" s="46" t="s">
        <v>27</v>
      </c>
      <c r="AE414" s="46" t="s">
        <v>73</v>
      </c>
      <c r="AF414" s="46" t="s">
        <v>29</v>
      </c>
      <c r="AG414" s="107">
        <v>34807</v>
      </c>
      <c r="AH414" s="70">
        <f>SUM(18523+9809)</f>
        <v>28332</v>
      </c>
      <c r="AI414" s="70">
        <f>SUM(18523+9809)</f>
        <v>28332</v>
      </c>
      <c r="AJ414" s="102">
        <v>65.400000000000006</v>
      </c>
      <c r="AK414" s="104">
        <v>130.80000000000001</v>
      </c>
      <c r="AL414" s="102">
        <v>65.400000000000006</v>
      </c>
      <c r="AM414" s="102"/>
      <c r="AN414" s="53">
        <f t="shared" si="210"/>
        <v>130.80000000000001</v>
      </c>
      <c r="AO414" s="53">
        <v>34.6</v>
      </c>
      <c r="AP414" s="102">
        <f t="shared" si="211"/>
        <v>6475</v>
      </c>
      <c r="AQ414" s="102">
        <f t="shared" si="212"/>
        <v>18.602579940816501</v>
      </c>
      <c r="AR414" s="102"/>
      <c r="AS414" s="102"/>
      <c r="AT414" s="102"/>
      <c r="AU414" s="102"/>
      <c r="AV414" s="102"/>
      <c r="AW414" s="102"/>
      <c r="AX414" s="102"/>
      <c r="AY414" s="102"/>
      <c r="AZ414" s="102"/>
      <c r="BA414" s="102"/>
      <c r="BB414" s="102"/>
      <c r="BC414" s="102"/>
      <c r="BD414" s="102"/>
      <c r="BE414" s="102"/>
      <c r="BF414" s="102"/>
      <c r="BG414" s="102"/>
      <c r="BH414" s="102"/>
      <c r="BI414" s="102"/>
      <c r="BJ414" s="102"/>
      <c r="BK414" s="102"/>
      <c r="BL414" s="102"/>
      <c r="BM414" s="102"/>
      <c r="BN414" s="102"/>
      <c r="BO414" s="102"/>
      <c r="BP414" s="102"/>
      <c r="BQ414" s="102"/>
      <c r="BR414" s="102"/>
      <c r="BS414" s="54" t="s">
        <v>23</v>
      </c>
      <c r="BT414" s="45" t="str">
        <f t="shared" si="202"/>
        <v>Yes</v>
      </c>
      <c r="BU414" s="45" t="str">
        <f t="shared" si="203"/>
        <v>No</v>
      </c>
      <c r="BV414" s="45" t="str">
        <f t="shared" si="204"/>
        <v>No</v>
      </c>
      <c r="BW414" s="55">
        <f t="shared" si="213"/>
        <v>61.859481258896096</v>
      </c>
      <c r="BX414" s="55"/>
      <c r="BY414" s="55">
        <v>61.604481258896094</v>
      </c>
      <c r="BZ414" s="55"/>
      <c r="CA414" s="45">
        <v>2000</v>
      </c>
      <c r="CB414" s="55">
        <f t="shared" si="214"/>
        <v>26.467373534494836</v>
      </c>
      <c r="CC414" s="46" t="s">
        <v>355</v>
      </c>
      <c r="CD414" s="46" t="s">
        <v>179</v>
      </c>
      <c r="CE414" s="46" t="s">
        <v>179</v>
      </c>
      <c r="CF414" s="46">
        <v>1</v>
      </c>
      <c r="CG414" s="46" t="str">
        <f t="shared" si="215"/>
        <v>No</v>
      </c>
      <c r="CH414" s="46" t="s">
        <v>35</v>
      </c>
      <c r="CI414" s="56">
        <v>0</v>
      </c>
      <c r="CJ414" s="46">
        <v>20</v>
      </c>
      <c r="CK414" s="46" t="s">
        <v>23</v>
      </c>
      <c r="CL414" s="49" t="s">
        <v>29</v>
      </c>
      <c r="CM414" s="50">
        <v>0</v>
      </c>
      <c r="CN414" s="50"/>
      <c r="CO414" s="50"/>
      <c r="CP414" s="46" t="s">
        <v>35</v>
      </c>
      <c r="CQ414" s="46" t="s">
        <v>24</v>
      </c>
      <c r="CR414" s="46">
        <v>7</v>
      </c>
      <c r="CS414" s="46" t="s">
        <v>854</v>
      </c>
      <c r="CT414" s="46" t="s">
        <v>53</v>
      </c>
      <c r="CU414" s="46" t="s">
        <v>29</v>
      </c>
      <c r="CV414" s="46" t="s">
        <v>23</v>
      </c>
      <c r="CW414" s="46" t="s">
        <v>23</v>
      </c>
      <c r="CX414" s="49" t="s">
        <v>561</v>
      </c>
      <c r="CY414" s="49" t="s">
        <v>59</v>
      </c>
      <c r="CZ414" s="49">
        <v>0</v>
      </c>
      <c r="DA414" s="49">
        <v>0</v>
      </c>
      <c r="DB414" s="64">
        <v>107045</v>
      </c>
      <c r="DC414" s="58">
        <v>31.46</v>
      </c>
      <c r="DD414" s="58">
        <v>2.7</v>
      </c>
      <c r="DE414" s="58">
        <v>48.82</v>
      </c>
      <c r="DF414" s="58">
        <v>14.27</v>
      </c>
      <c r="DG414" s="58">
        <v>2.7499999999999858</v>
      </c>
      <c r="DH414" s="58">
        <v>68.540000000000006</v>
      </c>
      <c r="DI414" s="45" t="s">
        <v>35</v>
      </c>
      <c r="DJ414" s="59" t="str">
        <f t="shared" si="216"/>
        <v>No single majority group</v>
      </c>
      <c r="DK414" s="65">
        <v>10641</v>
      </c>
      <c r="DL414" s="58">
        <v>18.709999999999997</v>
      </c>
      <c r="DM414" s="58">
        <v>2.2599999999999998</v>
      </c>
      <c r="DN414" s="58">
        <v>70.179999999999993</v>
      </c>
      <c r="DO414" s="58">
        <v>81.289999999999992</v>
      </c>
      <c r="DP414" s="66">
        <v>48.2</v>
      </c>
      <c r="DQ414" s="67">
        <v>59681.67</v>
      </c>
      <c r="DR414" s="53">
        <v>19.8</v>
      </c>
      <c r="DS414" s="58">
        <v>56.6</v>
      </c>
      <c r="DT414" s="53">
        <v>49.3</v>
      </c>
      <c r="DU414" s="55">
        <v>4.55</v>
      </c>
      <c r="DV414" s="50">
        <v>26.5</v>
      </c>
      <c r="DW414" s="53">
        <v>43.2</v>
      </c>
      <c r="DX414" s="53">
        <v>76.667599999999993</v>
      </c>
      <c r="DY414" s="53">
        <v>44.3</v>
      </c>
      <c r="DZ414" s="63"/>
    </row>
    <row r="415" spans="1:130" s="5" customFormat="1" ht="14.25" hidden="1" customHeight="1">
      <c r="A415" s="45">
        <v>1401</v>
      </c>
      <c r="B415" s="46" t="s">
        <v>357</v>
      </c>
      <c r="C415" s="47">
        <v>2002</v>
      </c>
      <c r="D415" s="47" t="s">
        <v>362</v>
      </c>
      <c r="E415" s="46" t="s">
        <v>363</v>
      </c>
      <c r="F415" s="46">
        <v>4</v>
      </c>
      <c r="G415" s="48">
        <v>15000</v>
      </c>
      <c r="H415" s="46" t="s">
        <v>332</v>
      </c>
      <c r="I415" s="46">
        <v>1</v>
      </c>
      <c r="J415" s="46">
        <v>2</v>
      </c>
      <c r="K415" s="49" t="s">
        <v>381</v>
      </c>
      <c r="L415" s="49" t="s">
        <v>40</v>
      </c>
      <c r="M415" s="49" t="s">
        <v>35</v>
      </c>
      <c r="N415" s="49" t="s">
        <v>513</v>
      </c>
      <c r="O415" s="49"/>
      <c r="P415" s="49" t="s">
        <v>201</v>
      </c>
      <c r="Q415" s="49" t="s">
        <v>35</v>
      </c>
      <c r="R415" s="49">
        <v>1</v>
      </c>
      <c r="S415" s="50">
        <f t="shared" si="206"/>
        <v>50</v>
      </c>
      <c r="T415" s="49">
        <v>2</v>
      </c>
      <c r="U415" s="50">
        <f t="shared" si="207"/>
        <v>100</v>
      </c>
      <c r="V415" s="49" t="s">
        <v>869</v>
      </c>
      <c r="W415" s="49">
        <v>1</v>
      </c>
      <c r="X415" s="50">
        <f t="shared" si="208"/>
        <v>50</v>
      </c>
      <c r="Y415" s="51" t="str">
        <f t="shared" si="209"/>
        <v>Yes</v>
      </c>
      <c r="Z415" s="45" t="s">
        <v>29</v>
      </c>
      <c r="AA415" s="49" t="s">
        <v>35</v>
      </c>
      <c r="AB415" s="45"/>
      <c r="AC415" s="46" t="s">
        <v>26</v>
      </c>
      <c r="AD415" s="46" t="s">
        <v>27</v>
      </c>
      <c r="AE415" s="46" t="s">
        <v>73</v>
      </c>
      <c r="AF415" s="46" t="s">
        <v>29</v>
      </c>
      <c r="AG415" s="107">
        <v>34807</v>
      </c>
      <c r="AH415" s="70">
        <f>SUM(18256+10828)</f>
        <v>29084</v>
      </c>
      <c r="AI415" s="70">
        <f>SUM(18256+10828)</f>
        <v>29084</v>
      </c>
      <c r="AJ415" s="102">
        <v>62.8</v>
      </c>
      <c r="AK415" s="104">
        <v>125.6</v>
      </c>
      <c r="AL415" s="102">
        <v>62.8</v>
      </c>
      <c r="AM415" s="102"/>
      <c r="AN415" s="53">
        <f t="shared" si="210"/>
        <v>125.6</v>
      </c>
      <c r="AO415" s="53">
        <v>37.200000000000003</v>
      </c>
      <c r="AP415" s="102">
        <f t="shared" si="211"/>
        <v>5723</v>
      </c>
      <c r="AQ415" s="102">
        <f t="shared" si="212"/>
        <v>16.442094980894648</v>
      </c>
      <c r="AR415" s="102"/>
      <c r="AS415" s="102"/>
      <c r="AT415" s="102"/>
      <c r="AU415" s="102"/>
      <c r="AV415" s="102"/>
      <c r="AW415" s="102"/>
      <c r="AX415" s="102"/>
      <c r="AY415" s="102"/>
      <c r="AZ415" s="102"/>
      <c r="BA415" s="102"/>
      <c r="BB415" s="102"/>
      <c r="BC415" s="102"/>
      <c r="BD415" s="102"/>
      <c r="BE415" s="102"/>
      <c r="BF415" s="102"/>
      <c r="BG415" s="102"/>
      <c r="BH415" s="102"/>
      <c r="BI415" s="102"/>
      <c r="BJ415" s="102"/>
      <c r="BK415" s="102"/>
      <c r="BL415" s="102"/>
      <c r="BM415" s="102"/>
      <c r="BN415" s="102"/>
      <c r="BO415" s="102"/>
      <c r="BP415" s="102"/>
      <c r="BQ415" s="102"/>
      <c r="BR415" s="102"/>
      <c r="BS415" s="54" t="s">
        <v>23</v>
      </c>
      <c r="BT415" s="45" t="str">
        <f t="shared" si="202"/>
        <v>Yes</v>
      </c>
      <c r="BU415" s="45" t="str">
        <f t="shared" si="203"/>
        <v>No</v>
      </c>
      <c r="BV415" s="45" t="str">
        <f t="shared" si="204"/>
        <v>No</v>
      </c>
      <c r="BW415" s="55">
        <f t="shared" si="213"/>
        <v>61.859481258896096</v>
      </c>
      <c r="BX415" s="55"/>
      <c r="BY415" s="55">
        <v>61.604481258896094</v>
      </c>
      <c r="BZ415" s="55"/>
      <c r="CA415" s="45">
        <v>2000</v>
      </c>
      <c r="CB415" s="55">
        <f t="shared" si="214"/>
        <v>27.169881825400534</v>
      </c>
      <c r="CC415" s="46" t="s">
        <v>355</v>
      </c>
      <c r="CD415" s="46" t="s">
        <v>179</v>
      </c>
      <c r="CE415" s="46" t="s">
        <v>179</v>
      </c>
      <c r="CF415" s="46">
        <v>1</v>
      </c>
      <c r="CG415" s="46" t="str">
        <f t="shared" si="215"/>
        <v>No</v>
      </c>
      <c r="CH415" s="46" t="s">
        <v>35</v>
      </c>
      <c r="CI415" s="56">
        <v>0</v>
      </c>
      <c r="CJ415" s="46">
        <v>20</v>
      </c>
      <c r="CK415" s="46" t="s">
        <v>23</v>
      </c>
      <c r="CL415" s="49" t="s">
        <v>29</v>
      </c>
      <c r="CM415" s="50">
        <v>0</v>
      </c>
      <c r="CN415" s="50"/>
      <c r="CO415" s="50"/>
      <c r="CP415" s="46" t="s">
        <v>35</v>
      </c>
      <c r="CQ415" s="46" t="s">
        <v>24</v>
      </c>
      <c r="CR415" s="46">
        <v>7</v>
      </c>
      <c r="CS415" s="46" t="s">
        <v>854</v>
      </c>
      <c r="CT415" s="46" t="s">
        <v>53</v>
      </c>
      <c r="CU415" s="46" t="s">
        <v>29</v>
      </c>
      <c r="CV415" s="46" t="s">
        <v>23</v>
      </c>
      <c r="CW415" s="46" t="s">
        <v>23</v>
      </c>
      <c r="CX415" s="49" t="s">
        <v>561</v>
      </c>
      <c r="CY415" s="49" t="s">
        <v>59</v>
      </c>
      <c r="CZ415" s="49">
        <v>0</v>
      </c>
      <c r="DA415" s="49">
        <v>0</v>
      </c>
      <c r="DB415" s="64">
        <v>107045</v>
      </c>
      <c r="DC415" s="58">
        <v>31.46</v>
      </c>
      <c r="DD415" s="58">
        <v>2.7</v>
      </c>
      <c r="DE415" s="58">
        <v>48.82</v>
      </c>
      <c r="DF415" s="58">
        <v>14.27</v>
      </c>
      <c r="DG415" s="58">
        <v>2.7499999999999858</v>
      </c>
      <c r="DH415" s="58">
        <v>68.540000000000006</v>
      </c>
      <c r="DI415" s="45" t="s">
        <v>35</v>
      </c>
      <c r="DJ415" s="59" t="str">
        <f t="shared" si="216"/>
        <v>No single majority group</v>
      </c>
      <c r="DK415" s="65">
        <v>11813</v>
      </c>
      <c r="DL415" s="58">
        <v>36.11</v>
      </c>
      <c r="DM415" s="58">
        <v>43.72</v>
      </c>
      <c r="DN415" s="58">
        <v>9.0499999999999989</v>
      </c>
      <c r="DO415" s="58">
        <v>86.36</v>
      </c>
      <c r="DP415" s="66">
        <v>48.2</v>
      </c>
      <c r="DQ415" s="67">
        <v>59681.67</v>
      </c>
      <c r="DR415" s="53">
        <v>19.8</v>
      </c>
      <c r="DS415" s="58">
        <v>56.6</v>
      </c>
      <c r="DT415" s="53">
        <v>49.3</v>
      </c>
      <c r="DU415" s="55">
        <v>4.55</v>
      </c>
      <c r="DV415" s="50">
        <v>26.5</v>
      </c>
      <c r="DW415" s="53">
        <v>43.2</v>
      </c>
      <c r="DX415" s="53">
        <v>76.667599999999993</v>
      </c>
      <c r="DY415" s="53">
        <v>44.3</v>
      </c>
      <c r="DZ415" s="63"/>
    </row>
    <row r="416" spans="1:130" s="5" customFormat="1" ht="14.25" hidden="1" customHeight="1">
      <c r="A416" s="45">
        <v>1402</v>
      </c>
      <c r="B416" s="46" t="s">
        <v>357</v>
      </c>
      <c r="C416" s="47">
        <v>2002</v>
      </c>
      <c r="D416" s="47" t="s">
        <v>365</v>
      </c>
      <c r="E416" s="46" t="s">
        <v>366</v>
      </c>
      <c r="F416" s="46">
        <v>4</v>
      </c>
      <c r="G416" s="48">
        <v>15000</v>
      </c>
      <c r="H416" s="46" t="s">
        <v>332</v>
      </c>
      <c r="I416" s="46">
        <v>1</v>
      </c>
      <c r="J416" s="46">
        <v>6</v>
      </c>
      <c r="K416" s="49" t="s">
        <v>382</v>
      </c>
      <c r="L416" s="49" t="s">
        <v>30</v>
      </c>
      <c r="M416" s="49" t="s">
        <v>29</v>
      </c>
      <c r="N416" s="49" t="s">
        <v>512</v>
      </c>
      <c r="O416" s="49"/>
      <c r="P416" s="49" t="s">
        <v>857</v>
      </c>
      <c r="Q416" s="49" t="s">
        <v>35</v>
      </c>
      <c r="R416" s="49">
        <v>2</v>
      </c>
      <c r="S416" s="50">
        <f t="shared" si="206"/>
        <v>33.333333333333329</v>
      </c>
      <c r="T416" s="49">
        <v>3</v>
      </c>
      <c r="U416" s="50">
        <f t="shared" si="207"/>
        <v>50</v>
      </c>
      <c r="V416" s="49" t="s">
        <v>865</v>
      </c>
      <c r="W416" s="49">
        <v>0</v>
      </c>
      <c r="X416" s="50">
        <f t="shared" si="208"/>
        <v>0</v>
      </c>
      <c r="Y416" s="51" t="str">
        <f t="shared" si="209"/>
        <v>No</v>
      </c>
      <c r="Z416" s="45" t="s">
        <v>35</v>
      </c>
      <c r="AA416" s="49" t="s">
        <v>23</v>
      </c>
      <c r="AB416" s="49" t="s">
        <v>23</v>
      </c>
      <c r="AC416" s="46" t="s">
        <v>26</v>
      </c>
      <c r="AD416" s="46" t="s">
        <v>27</v>
      </c>
      <c r="AE416" s="46" t="s">
        <v>73</v>
      </c>
      <c r="AF416" s="46" t="s">
        <v>29</v>
      </c>
      <c r="AG416" s="107">
        <v>34807</v>
      </c>
      <c r="AH416" s="70">
        <f>SUM(13236+4950+4948+4383+3135+432)</f>
        <v>31084</v>
      </c>
      <c r="AI416" s="70">
        <f>SUM(13236+4950+4948+4383+3135+432)</f>
        <v>31084</v>
      </c>
      <c r="AJ416" s="102">
        <v>42.6</v>
      </c>
      <c r="AK416" s="104">
        <v>85.2</v>
      </c>
      <c r="AL416" s="102">
        <v>42.6</v>
      </c>
      <c r="AM416" s="102"/>
      <c r="AN416" s="53">
        <f t="shared" si="210"/>
        <v>85.2</v>
      </c>
      <c r="AO416" s="53">
        <v>15.9</v>
      </c>
      <c r="AP416" s="102">
        <f t="shared" si="211"/>
        <v>3723</v>
      </c>
      <c r="AQ416" s="102">
        <f t="shared" si="212"/>
        <v>10.696124342804609</v>
      </c>
      <c r="AR416" s="102"/>
      <c r="AS416" s="102"/>
      <c r="AT416" s="102"/>
      <c r="AU416" s="102"/>
      <c r="AV416" s="102"/>
      <c r="AW416" s="102"/>
      <c r="AX416" s="102"/>
      <c r="AY416" s="102"/>
      <c r="AZ416" s="102"/>
      <c r="BA416" s="102"/>
      <c r="BB416" s="102"/>
      <c r="BC416" s="102"/>
      <c r="BD416" s="102"/>
      <c r="BE416" s="102"/>
      <c r="BF416" s="102"/>
      <c r="BG416" s="102"/>
      <c r="BH416" s="102"/>
      <c r="BI416" s="102"/>
      <c r="BJ416" s="102"/>
      <c r="BK416" s="102"/>
      <c r="BL416" s="102"/>
      <c r="BM416" s="102"/>
      <c r="BN416" s="102"/>
      <c r="BO416" s="102"/>
      <c r="BP416" s="102"/>
      <c r="BQ416" s="102"/>
      <c r="BR416" s="102"/>
      <c r="BS416" s="54" t="s">
        <v>23</v>
      </c>
      <c r="BT416" s="45" t="str">
        <f t="shared" si="202"/>
        <v>No</v>
      </c>
      <c r="BU416" s="45" t="str">
        <f t="shared" si="203"/>
        <v>No</v>
      </c>
      <c r="BV416" s="45" t="str">
        <f t="shared" si="204"/>
        <v>No</v>
      </c>
      <c r="BW416" s="55">
        <f t="shared" si="213"/>
        <v>61.859481258896096</v>
      </c>
      <c r="BX416" s="55"/>
      <c r="BY416" s="55">
        <v>61.604481258896094</v>
      </c>
      <c r="BZ416" s="55"/>
      <c r="CA416" s="45">
        <v>2000</v>
      </c>
      <c r="CB416" s="55">
        <f t="shared" si="214"/>
        <v>29.038254939511422</v>
      </c>
      <c r="CC416" s="46" t="s">
        <v>355</v>
      </c>
      <c r="CD416" s="46" t="s">
        <v>179</v>
      </c>
      <c r="CE416" s="46" t="s">
        <v>179</v>
      </c>
      <c r="CF416" s="46">
        <v>1</v>
      </c>
      <c r="CG416" s="46" t="str">
        <f t="shared" si="215"/>
        <v>No</v>
      </c>
      <c r="CH416" s="46" t="s">
        <v>35</v>
      </c>
      <c r="CI416" s="56">
        <v>0</v>
      </c>
      <c r="CJ416" s="46">
        <v>20</v>
      </c>
      <c r="CK416" s="46" t="s">
        <v>23</v>
      </c>
      <c r="CL416" s="49" t="s">
        <v>29</v>
      </c>
      <c r="CM416" s="50">
        <v>0</v>
      </c>
      <c r="CN416" s="50"/>
      <c r="CO416" s="50"/>
      <c r="CP416" s="46" t="s">
        <v>35</v>
      </c>
      <c r="CQ416" s="46" t="s">
        <v>24</v>
      </c>
      <c r="CR416" s="46">
        <v>7</v>
      </c>
      <c r="CS416" s="46" t="s">
        <v>854</v>
      </c>
      <c r="CT416" s="46" t="s">
        <v>53</v>
      </c>
      <c r="CU416" s="46" t="s">
        <v>29</v>
      </c>
      <c r="CV416" s="46" t="s">
        <v>23</v>
      </c>
      <c r="CW416" s="46" t="s">
        <v>23</v>
      </c>
      <c r="CX416" s="49" t="s">
        <v>561</v>
      </c>
      <c r="CY416" s="49" t="s">
        <v>59</v>
      </c>
      <c r="CZ416" s="49">
        <v>0</v>
      </c>
      <c r="DA416" s="49">
        <v>0</v>
      </c>
      <c r="DB416" s="64">
        <v>107045</v>
      </c>
      <c r="DC416" s="58">
        <v>31.46</v>
      </c>
      <c r="DD416" s="58">
        <v>2.7</v>
      </c>
      <c r="DE416" s="58">
        <v>48.82</v>
      </c>
      <c r="DF416" s="58">
        <v>14.27</v>
      </c>
      <c r="DG416" s="58">
        <v>2.7499999999999858</v>
      </c>
      <c r="DH416" s="58">
        <v>68.540000000000006</v>
      </c>
      <c r="DI416" s="45" t="s">
        <v>35</v>
      </c>
      <c r="DJ416" s="59" t="str">
        <f t="shared" si="216"/>
        <v>No single majority group</v>
      </c>
      <c r="DK416" s="65">
        <v>26580</v>
      </c>
      <c r="DL416" s="58">
        <v>35.270000000000003</v>
      </c>
      <c r="DM416" s="58">
        <v>2.06</v>
      </c>
      <c r="DN416" s="58">
        <v>31.8</v>
      </c>
      <c r="DO416" s="58">
        <v>64.73</v>
      </c>
      <c r="DP416" s="66">
        <v>48.2</v>
      </c>
      <c r="DQ416" s="67">
        <v>59681.67</v>
      </c>
      <c r="DR416" s="53">
        <v>19.8</v>
      </c>
      <c r="DS416" s="58">
        <v>56.6</v>
      </c>
      <c r="DT416" s="53">
        <v>49.3</v>
      </c>
      <c r="DU416" s="55">
        <v>4.55</v>
      </c>
      <c r="DV416" s="50">
        <v>26.5</v>
      </c>
      <c r="DW416" s="53">
        <v>43.2</v>
      </c>
      <c r="DX416" s="53">
        <v>76.667599999999993</v>
      </c>
      <c r="DY416" s="53">
        <v>44.3</v>
      </c>
      <c r="DZ416" s="63"/>
    </row>
    <row r="417" spans="1:130" s="5" customFormat="1" ht="14.25" hidden="1" customHeight="1">
      <c r="A417" s="45">
        <v>1399</v>
      </c>
      <c r="B417" s="46" t="s">
        <v>357</v>
      </c>
      <c r="C417" s="47">
        <v>2002</v>
      </c>
      <c r="D417" s="47" t="s">
        <v>38</v>
      </c>
      <c r="E417" s="46" t="s">
        <v>22</v>
      </c>
      <c r="F417" s="46">
        <v>2</v>
      </c>
      <c r="G417" s="48">
        <v>17000</v>
      </c>
      <c r="H417" s="46" t="s">
        <v>332</v>
      </c>
      <c r="I417" s="46">
        <v>1</v>
      </c>
      <c r="J417" s="46">
        <v>1</v>
      </c>
      <c r="K417" s="49" t="s">
        <v>358</v>
      </c>
      <c r="L417" s="49" t="s">
        <v>30</v>
      </c>
      <c r="M417" s="49" t="s">
        <v>29</v>
      </c>
      <c r="N417" s="49" t="s">
        <v>513</v>
      </c>
      <c r="O417" s="49"/>
      <c r="P417" s="49" t="s">
        <v>857</v>
      </c>
      <c r="Q417" s="49" t="s">
        <v>35</v>
      </c>
      <c r="R417" s="49">
        <v>0</v>
      </c>
      <c r="S417" s="50">
        <f t="shared" si="206"/>
        <v>0</v>
      </c>
      <c r="T417" s="49">
        <v>1</v>
      </c>
      <c r="U417" s="50">
        <f t="shared" si="207"/>
        <v>100</v>
      </c>
      <c r="V417" s="49" t="s">
        <v>789</v>
      </c>
      <c r="W417" s="49">
        <v>0</v>
      </c>
      <c r="X417" s="50">
        <f t="shared" si="208"/>
        <v>0</v>
      </c>
      <c r="Y417" s="51" t="str">
        <f t="shared" si="209"/>
        <v>No</v>
      </c>
      <c r="Z417" s="49" t="s">
        <v>29</v>
      </c>
      <c r="AA417" s="49" t="s">
        <v>35</v>
      </c>
      <c r="AB417" s="49" t="s">
        <v>29</v>
      </c>
      <c r="AC417" s="46" t="s">
        <v>26</v>
      </c>
      <c r="AD417" s="46" t="s">
        <v>27</v>
      </c>
      <c r="AE417" s="46" t="s">
        <v>73</v>
      </c>
      <c r="AF417" s="46" t="s">
        <v>29</v>
      </c>
      <c r="AG417" s="103">
        <v>34807</v>
      </c>
      <c r="AH417" s="52">
        <v>25669</v>
      </c>
      <c r="AI417" s="52">
        <v>25669</v>
      </c>
      <c r="AJ417" s="102">
        <v>100</v>
      </c>
      <c r="AK417" s="104">
        <v>200</v>
      </c>
      <c r="AL417" s="102">
        <v>100</v>
      </c>
      <c r="AM417" s="102"/>
      <c r="AN417" s="53">
        <f t="shared" si="210"/>
        <v>200</v>
      </c>
      <c r="AO417" s="53" t="s">
        <v>23</v>
      </c>
      <c r="AP417" s="102">
        <f t="shared" si="211"/>
        <v>9138</v>
      </c>
      <c r="AQ417" s="102">
        <f t="shared" si="212"/>
        <v>26.253339845433388</v>
      </c>
      <c r="AR417" s="102"/>
      <c r="AS417" s="102"/>
      <c r="AT417" s="102"/>
      <c r="AU417" s="102"/>
      <c r="AV417" s="102"/>
      <c r="AW417" s="102"/>
      <c r="AX417" s="102"/>
      <c r="AY417" s="102"/>
      <c r="AZ417" s="102"/>
      <c r="BA417" s="102"/>
      <c r="BB417" s="102"/>
      <c r="BC417" s="102"/>
      <c r="BD417" s="102"/>
      <c r="BE417" s="102"/>
      <c r="BF417" s="102"/>
      <c r="BG417" s="102"/>
      <c r="BH417" s="102"/>
      <c r="BI417" s="102"/>
      <c r="BJ417" s="102"/>
      <c r="BK417" s="102"/>
      <c r="BL417" s="102"/>
      <c r="BM417" s="102"/>
      <c r="BN417" s="102"/>
      <c r="BO417" s="102"/>
      <c r="BP417" s="102"/>
      <c r="BQ417" s="102"/>
      <c r="BR417" s="102"/>
      <c r="BS417" s="54" t="s">
        <v>23</v>
      </c>
      <c r="BT417" s="45" t="str">
        <f t="shared" si="202"/>
        <v>No</v>
      </c>
      <c r="BU417" s="45" t="str">
        <f t="shared" si="203"/>
        <v>No</v>
      </c>
      <c r="BV417" s="45" t="str">
        <f t="shared" si="204"/>
        <v>No</v>
      </c>
      <c r="BW417" s="55">
        <f t="shared" si="213"/>
        <v>61.859481258896096</v>
      </c>
      <c r="BX417" s="55">
        <f>(31291/(31291+19293))*100</f>
        <v>61.859481258896096</v>
      </c>
      <c r="BY417" s="55">
        <v>61.604481258896094</v>
      </c>
      <c r="BZ417" s="55">
        <f>BX417-(0.0051*100/2)</f>
        <v>61.604481258896094</v>
      </c>
      <c r="CA417" s="45">
        <v>2000</v>
      </c>
      <c r="CB417" s="55">
        <f t="shared" si="214"/>
        <v>23.979634733056191</v>
      </c>
      <c r="CC417" s="46" t="s">
        <v>39</v>
      </c>
      <c r="CD417" s="46" t="s">
        <v>179</v>
      </c>
      <c r="CE417" s="46" t="s">
        <v>179</v>
      </c>
      <c r="CF417" s="46">
        <v>1</v>
      </c>
      <c r="CG417" s="46" t="str">
        <f t="shared" si="215"/>
        <v>No</v>
      </c>
      <c r="CH417" s="46" t="s">
        <v>35</v>
      </c>
      <c r="CI417" s="56">
        <v>0</v>
      </c>
      <c r="CJ417" s="46">
        <v>20</v>
      </c>
      <c r="CK417" s="46" t="s">
        <v>23</v>
      </c>
      <c r="CL417" s="49" t="s">
        <v>29</v>
      </c>
      <c r="CM417" s="50">
        <v>0</v>
      </c>
      <c r="CN417" s="50"/>
      <c r="CO417" s="50"/>
      <c r="CP417" s="46" t="s">
        <v>23</v>
      </c>
      <c r="CQ417" s="46" t="s">
        <v>23</v>
      </c>
      <c r="CR417" s="46">
        <v>7</v>
      </c>
      <c r="CS417" s="46" t="s">
        <v>854</v>
      </c>
      <c r="CT417" s="46" t="s">
        <v>53</v>
      </c>
      <c r="CU417" s="46" t="s">
        <v>29</v>
      </c>
      <c r="CV417" s="46" t="s">
        <v>23</v>
      </c>
      <c r="CW417" s="46" t="s">
        <v>23</v>
      </c>
      <c r="CX417" s="49" t="s">
        <v>561</v>
      </c>
      <c r="CY417" s="49" t="s">
        <v>59</v>
      </c>
      <c r="CZ417" s="49">
        <v>0</v>
      </c>
      <c r="DA417" s="49">
        <v>0</v>
      </c>
      <c r="DB417" s="64">
        <v>107045</v>
      </c>
      <c r="DC417" s="58">
        <v>31.46</v>
      </c>
      <c r="DD417" s="58">
        <v>2.7</v>
      </c>
      <c r="DE417" s="58">
        <v>48.82</v>
      </c>
      <c r="DF417" s="58">
        <v>14.27</v>
      </c>
      <c r="DG417" s="58">
        <v>2.7499999999999858</v>
      </c>
      <c r="DH417" s="58">
        <v>68.540000000000006</v>
      </c>
      <c r="DI417" s="45" t="s">
        <v>35</v>
      </c>
      <c r="DJ417" s="59" t="str">
        <f t="shared" si="216"/>
        <v>No single majority group</v>
      </c>
      <c r="DK417" s="65">
        <v>26343</v>
      </c>
      <c r="DL417" s="58">
        <v>49.99</v>
      </c>
      <c r="DM417" s="58">
        <v>2.7199999999999998</v>
      </c>
      <c r="DN417" s="58">
        <v>32.07</v>
      </c>
      <c r="DO417" s="58">
        <v>50.01</v>
      </c>
      <c r="DP417" s="66">
        <v>48.2</v>
      </c>
      <c r="DQ417" s="67">
        <v>59681.67</v>
      </c>
      <c r="DR417" s="53">
        <v>19.8</v>
      </c>
      <c r="DS417" s="58">
        <v>56.6</v>
      </c>
      <c r="DT417" s="53">
        <v>49.3</v>
      </c>
      <c r="DU417" s="55">
        <v>4.55</v>
      </c>
      <c r="DV417" s="50">
        <v>26.5</v>
      </c>
      <c r="DW417" s="53">
        <v>43.2</v>
      </c>
      <c r="DX417" s="53">
        <v>76.667599999999993</v>
      </c>
      <c r="DY417" s="53">
        <v>44.3</v>
      </c>
      <c r="DZ417" s="63"/>
    </row>
    <row r="418" spans="1:130" s="5" customFormat="1" ht="14.25" hidden="1" customHeight="1">
      <c r="A418" s="45">
        <v>1396</v>
      </c>
      <c r="B418" s="46" t="s">
        <v>357</v>
      </c>
      <c r="C418" s="47">
        <v>2004</v>
      </c>
      <c r="D418" s="47" t="s">
        <v>368</v>
      </c>
      <c r="E418" s="46" t="s">
        <v>369</v>
      </c>
      <c r="F418" s="46">
        <v>4</v>
      </c>
      <c r="G418" s="48">
        <v>15000</v>
      </c>
      <c r="H418" s="46" t="s">
        <v>332</v>
      </c>
      <c r="I418" s="46">
        <v>1</v>
      </c>
      <c r="J418" s="46">
        <v>2</v>
      </c>
      <c r="K418" s="49" t="s">
        <v>379</v>
      </c>
      <c r="L418" s="49" t="s">
        <v>30</v>
      </c>
      <c r="M418" s="49" t="s">
        <v>29</v>
      </c>
      <c r="N418" s="49" t="s">
        <v>513</v>
      </c>
      <c r="O418" s="49"/>
      <c r="P418" s="49" t="s">
        <v>857</v>
      </c>
      <c r="Q418" s="49" t="s">
        <v>35</v>
      </c>
      <c r="R418" s="49">
        <v>0</v>
      </c>
      <c r="S418" s="50">
        <f t="shared" si="206"/>
        <v>0</v>
      </c>
      <c r="T418" s="49">
        <v>2</v>
      </c>
      <c r="U418" s="50">
        <f t="shared" si="207"/>
        <v>100</v>
      </c>
      <c r="V418" s="49" t="s">
        <v>794</v>
      </c>
      <c r="W418" s="49">
        <v>0</v>
      </c>
      <c r="X418" s="50">
        <f t="shared" si="208"/>
        <v>0</v>
      </c>
      <c r="Y418" s="51" t="str">
        <f t="shared" si="209"/>
        <v>No</v>
      </c>
      <c r="Z418" s="49" t="s">
        <v>29</v>
      </c>
      <c r="AA418" s="49" t="s">
        <v>35</v>
      </c>
      <c r="AB418" s="49" t="s">
        <v>29</v>
      </c>
      <c r="AC418" s="46" t="s">
        <v>26</v>
      </c>
      <c r="AD418" s="46" t="s">
        <v>27</v>
      </c>
      <c r="AE418" s="46" t="s">
        <v>89</v>
      </c>
      <c r="AF418" s="46" t="s">
        <v>29</v>
      </c>
      <c r="AG418" s="107">
        <v>54599</v>
      </c>
      <c r="AH418" s="70">
        <f>SUM(36383+9329)</f>
        <v>45712</v>
      </c>
      <c r="AI418" s="70">
        <f>SUM(36383+9329)</f>
        <v>45712</v>
      </c>
      <c r="AJ418" s="102">
        <v>79.599999999999994</v>
      </c>
      <c r="AK418" s="104">
        <v>159.19999999999999</v>
      </c>
      <c r="AL418" s="102">
        <v>79.599999999999994</v>
      </c>
      <c r="AM418" s="102"/>
      <c r="AN418" s="53">
        <f t="shared" si="210"/>
        <v>159.19999999999999</v>
      </c>
      <c r="AO418" s="53">
        <v>20.399999999999999</v>
      </c>
      <c r="AP418" s="102">
        <f t="shared" si="211"/>
        <v>8887</v>
      </c>
      <c r="AQ418" s="102">
        <f t="shared" si="212"/>
        <v>16.276854887452153</v>
      </c>
      <c r="AR418" s="102"/>
      <c r="AS418" s="102"/>
      <c r="AT418" s="102"/>
      <c r="AU418" s="102"/>
      <c r="AV418" s="102"/>
      <c r="AW418" s="102"/>
      <c r="AX418" s="102"/>
      <c r="AY418" s="102"/>
      <c r="AZ418" s="102"/>
      <c r="BA418" s="102"/>
      <c r="BB418" s="102"/>
      <c r="BC418" s="102"/>
      <c r="BD418" s="102"/>
      <c r="BE418" s="102"/>
      <c r="BF418" s="102"/>
      <c r="BG418" s="102"/>
      <c r="BH418" s="102"/>
      <c r="BI418" s="102"/>
      <c r="BJ418" s="102"/>
      <c r="BK418" s="102"/>
      <c r="BL418" s="102"/>
      <c r="BM418" s="102"/>
      <c r="BN418" s="102"/>
      <c r="BO418" s="102"/>
      <c r="BP418" s="102"/>
      <c r="BQ418" s="102"/>
      <c r="BR418" s="102"/>
      <c r="BS418" s="54" t="s">
        <v>23</v>
      </c>
      <c r="BT418" s="45" t="str">
        <f t="shared" si="202"/>
        <v>No</v>
      </c>
      <c r="BU418" s="45" t="str">
        <f t="shared" si="203"/>
        <v>No</v>
      </c>
      <c r="BV418" s="45" t="str">
        <f t="shared" si="204"/>
        <v>No</v>
      </c>
      <c r="BW418" s="55">
        <f t="shared" ref="BW418:BW425" si="217">(28818/(28818+23655))*100</f>
        <v>54.919672974672686</v>
      </c>
      <c r="BX418" s="55"/>
      <c r="BY418" s="55">
        <v>56.149672974672683</v>
      </c>
      <c r="BZ418" s="55"/>
      <c r="CA418" s="45">
        <v>2004</v>
      </c>
      <c r="CB418" s="55">
        <f t="shared" si="214"/>
        <v>42.703535896118453</v>
      </c>
      <c r="CC418" s="46" t="s">
        <v>355</v>
      </c>
      <c r="CD418" s="46" t="s">
        <v>179</v>
      </c>
      <c r="CE418" s="46" t="s">
        <v>179</v>
      </c>
      <c r="CF418" s="46">
        <v>1</v>
      </c>
      <c r="CG418" s="46" t="str">
        <f t="shared" si="215"/>
        <v>No</v>
      </c>
      <c r="CH418" s="46" t="s">
        <v>35</v>
      </c>
      <c r="CI418" s="56">
        <v>0</v>
      </c>
      <c r="CJ418" s="46">
        <v>20</v>
      </c>
      <c r="CK418" s="46" t="s">
        <v>23</v>
      </c>
      <c r="CL418" s="49" t="s">
        <v>29</v>
      </c>
      <c r="CM418" s="50">
        <v>0</v>
      </c>
      <c r="CN418" s="50"/>
      <c r="CO418" s="50"/>
      <c r="CP418" s="46" t="s">
        <v>35</v>
      </c>
      <c r="CQ418" s="46" t="s">
        <v>24</v>
      </c>
      <c r="CR418" s="46">
        <v>7</v>
      </c>
      <c r="CS418" s="46" t="s">
        <v>854</v>
      </c>
      <c r="CT418" s="46" t="s">
        <v>53</v>
      </c>
      <c r="CU418" s="46" t="s">
        <v>29</v>
      </c>
      <c r="CV418" s="46" t="s">
        <v>23</v>
      </c>
      <c r="CW418" s="46" t="s">
        <v>23</v>
      </c>
      <c r="CX418" s="49" t="s">
        <v>561</v>
      </c>
      <c r="CY418" s="49" t="s">
        <v>59</v>
      </c>
      <c r="CZ418" s="49">
        <v>0</v>
      </c>
      <c r="DA418" s="49">
        <v>0</v>
      </c>
      <c r="DB418" s="64">
        <v>107045</v>
      </c>
      <c r="DC418" s="58">
        <v>31.46</v>
      </c>
      <c r="DD418" s="58">
        <v>2.7</v>
      </c>
      <c r="DE418" s="58">
        <v>48.82</v>
      </c>
      <c r="DF418" s="58">
        <v>14.27</v>
      </c>
      <c r="DG418" s="58">
        <v>2.7499999999999858</v>
      </c>
      <c r="DH418" s="58">
        <v>68.540000000000006</v>
      </c>
      <c r="DI418" s="45" t="s">
        <v>35</v>
      </c>
      <c r="DJ418" s="59" t="str">
        <f t="shared" si="216"/>
        <v>No single majority group</v>
      </c>
      <c r="DK418" s="65">
        <v>16139</v>
      </c>
      <c r="DL418" s="58">
        <v>62.59</v>
      </c>
      <c r="DM418" s="58">
        <v>10.65</v>
      </c>
      <c r="DN418" s="58">
        <v>10.94</v>
      </c>
      <c r="DO418" s="58">
        <v>74.819999999999993</v>
      </c>
      <c r="DP418" s="66">
        <v>48.2</v>
      </c>
      <c r="DQ418" s="67">
        <v>59681.67</v>
      </c>
      <c r="DR418" s="53">
        <v>19.8</v>
      </c>
      <c r="DS418" s="58">
        <v>56.6</v>
      </c>
      <c r="DT418" s="53">
        <v>49.3</v>
      </c>
      <c r="DU418" s="55">
        <v>4.55</v>
      </c>
      <c r="DV418" s="50">
        <v>26.5</v>
      </c>
      <c r="DW418" s="53">
        <v>43.2</v>
      </c>
      <c r="DX418" s="53">
        <v>76.667599999999993</v>
      </c>
      <c r="DY418" s="53">
        <v>44.3</v>
      </c>
      <c r="DZ418" s="63"/>
    </row>
    <row r="419" spans="1:130" s="5" customFormat="1" ht="14.25" hidden="1" customHeight="1">
      <c r="A419" s="45">
        <v>1397</v>
      </c>
      <c r="B419" s="46" t="s">
        <v>357</v>
      </c>
      <c r="C419" s="47">
        <v>2004</v>
      </c>
      <c r="D419" s="47" t="s">
        <v>371</v>
      </c>
      <c r="E419" s="46" t="s">
        <v>372</v>
      </c>
      <c r="F419" s="46">
        <v>4</v>
      </c>
      <c r="G419" s="48">
        <v>15000</v>
      </c>
      <c r="H419" s="46" t="s">
        <v>332</v>
      </c>
      <c r="I419" s="46">
        <v>1</v>
      </c>
      <c r="J419" s="46">
        <v>2</v>
      </c>
      <c r="K419" s="49" t="s">
        <v>377</v>
      </c>
      <c r="L419" s="49" t="s">
        <v>30</v>
      </c>
      <c r="M419" s="49" t="s">
        <v>29</v>
      </c>
      <c r="N419" s="49" t="s">
        <v>512</v>
      </c>
      <c r="O419" s="49"/>
      <c r="P419" s="49" t="s">
        <v>31</v>
      </c>
      <c r="Q419" s="49" t="s">
        <v>29</v>
      </c>
      <c r="R419" s="49">
        <v>0</v>
      </c>
      <c r="S419" s="50">
        <f t="shared" si="206"/>
        <v>0</v>
      </c>
      <c r="T419" s="49">
        <v>1</v>
      </c>
      <c r="U419" s="50">
        <f t="shared" si="207"/>
        <v>50</v>
      </c>
      <c r="V419" s="49" t="s">
        <v>789</v>
      </c>
      <c r="W419" s="49">
        <v>0</v>
      </c>
      <c r="X419" s="50">
        <f t="shared" si="208"/>
        <v>0</v>
      </c>
      <c r="Y419" s="51" t="str">
        <f t="shared" si="209"/>
        <v>No</v>
      </c>
      <c r="Z419" s="49" t="s">
        <v>35</v>
      </c>
      <c r="AA419" s="49" t="s">
        <v>23</v>
      </c>
      <c r="AB419" s="49" t="s">
        <v>23</v>
      </c>
      <c r="AC419" s="46" t="s">
        <v>26</v>
      </c>
      <c r="AD419" s="46" t="s">
        <v>27</v>
      </c>
      <c r="AE419" s="46" t="s">
        <v>89</v>
      </c>
      <c r="AF419" s="46" t="s">
        <v>29</v>
      </c>
      <c r="AG419" s="107">
        <v>54599</v>
      </c>
      <c r="AH419" s="70">
        <f>SUM(27953+18699)</f>
        <v>46652</v>
      </c>
      <c r="AI419" s="70">
        <f>SUM(27953+18699)</f>
        <v>46652</v>
      </c>
      <c r="AJ419" s="102">
        <v>59.9</v>
      </c>
      <c r="AK419" s="104">
        <v>119.8</v>
      </c>
      <c r="AL419" s="102">
        <v>59.9</v>
      </c>
      <c r="AM419" s="102"/>
      <c r="AN419" s="53">
        <f t="shared" si="210"/>
        <v>119.8</v>
      </c>
      <c r="AO419" s="53">
        <v>40.1</v>
      </c>
      <c r="AP419" s="102">
        <f t="shared" si="211"/>
        <v>7947</v>
      </c>
      <c r="AQ419" s="102">
        <f t="shared" si="212"/>
        <v>14.555211633912709</v>
      </c>
      <c r="AR419" s="102"/>
      <c r="AS419" s="102"/>
      <c r="AT419" s="102"/>
      <c r="AU419" s="102"/>
      <c r="AV419" s="102"/>
      <c r="AW419" s="102"/>
      <c r="AX419" s="102"/>
      <c r="AY419" s="102"/>
      <c r="AZ419" s="102"/>
      <c r="BA419" s="102"/>
      <c r="BB419" s="102"/>
      <c r="BC419" s="102"/>
      <c r="BD419" s="102"/>
      <c r="BE419" s="102"/>
      <c r="BF419" s="102"/>
      <c r="BG419" s="102"/>
      <c r="BH419" s="102"/>
      <c r="BI419" s="102"/>
      <c r="BJ419" s="102"/>
      <c r="BK419" s="102"/>
      <c r="BL419" s="102"/>
      <c r="BM419" s="102"/>
      <c r="BN419" s="102"/>
      <c r="BO419" s="102"/>
      <c r="BP419" s="102"/>
      <c r="BQ419" s="102"/>
      <c r="BR419" s="102"/>
      <c r="BS419" s="54" t="s">
        <v>23</v>
      </c>
      <c r="BT419" s="45" t="str">
        <f t="shared" si="202"/>
        <v>Yes</v>
      </c>
      <c r="BU419" s="45" t="str">
        <f t="shared" si="203"/>
        <v>Yes</v>
      </c>
      <c r="BV419" s="45" t="str">
        <f t="shared" si="204"/>
        <v>No</v>
      </c>
      <c r="BW419" s="55">
        <f t="shared" si="217"/>
        <v>54.919672974672686</v>
      </c>
      <c r="BX419" s="55"/>
      <c r="BY419" s="55">
        <v>56.149672974672683</v>
      </c>
      <c r="BZ419" s="55"/>
      <c r="CA419" s="45">
        <v>2004</v>
      </c>
      <c r="CB419" s="55">
        <f t="shared" si="214"/>
        <v>43.581671259750571</v>
      </c>
      <c r="CC419" s="46" t="s">
        <v>355</v>
      </c>
      <c r="CD419" s="46" t="s">
        <v>179</v>
      </c>
      <c r="CE419" s="46" t="s">
        <v>179</v>
      </c>
      <c r="CF419" s="46">
        <v>1</v>
      </c>
      <c r="CG419" s="46" t="str">
        <f t="shared" si="215"/>
        <v>No</v>
      </c>
      <c r="CH419" s="46" t="s">
        <v>35</v>
      </c>
      <c r="CI419" s="56">
        <v>0</v>
      </c>
      <c r="CJ419" s="46">
        <v>20</v>
      </c>
      <c r="CK419" s="46" t="s">
        <v>23</v>
      </c>
      <c r="CL419" s="49" t="s">
        <v>29</v>
      </c>
      <c r="CM419" s="50">
        <v>0</v>
      </c>
      <c r="CN419" s="50"/>
      <c r="CO419" s="50"/>
      <c r="CP419" s="46" t="s">
        <v>35</v>
      </c>
      <c r="CQ419" s="46" t="s">
        <v>24</v>
      </c>
      <c r="CR419" s="46">
        <v>7</v>
      </c>
      <c r="CS419" s="46" t="s">
        <v>854</v>
      </c>
      <c r="CT419" s="46" t="s">
        <v>53</v>
      </c>
      <c r="CU419" s="46" t="s">
        <v>29</v>
      </c>
      <c r="CV419" s="46" t="s">
        <v>23</v>
      </c>
      <c r="CW419" s="46" t="s">
        <v>23</v>
      </c>
      <c r="CX419" s="49" t="s">
        <v>561</v>
      </c>
      <c r="CY419" s="49" t="s">
        <v>59</v>
      </c>
      <c r="CZ419" s="49">
        <v>0</v>
      </c>
      <c r="DA419" s="49">
        <v>0</v>
      </c>
      <c r="DB419" s="64">
        <v>107045</v>
      </c>
      <c r="DC419" s="58">
        <v>31.46</v>
      </c>
      <c r="DD419" s="58">
        <v>2.7</v>
      </c>
      <c r="DE419" s="58">
        <v>48.82</v>
      </c>
      <c r="DF419" s="58">
        <v>14.27</v>
      </c>
      <c r="DG419" s="58">
        <v>2.7499999999999858</v>
      </c>
      <c r="DH419" s="58">
        <v>68.540000000000006</v>
      </c>
      <c r="DI419" s="45" t="s">
        <v>35</v>
      </c>
      <c r="DJ419" s="59" t="str">
        <f t="shared" si="216"/>
        <v>No single majority group</v>
      </c>
      <c r="DK419" s="65">
        <v>26343</v>
      </c>
      <c r="DL419" s="58">
        <v>49.99</v>
      </c>
      <c r="DM419" s="58">
        <v>2.7199999999999998</v>
      </c>
      <c r="DN419" s="58">
        <v>32.07</v>
      </c>
      <c r="DO419" s="58">
        <v>50.01</v>
      </c>
      <c r="DP419" s="66">
        <v>48.2</v>
      </c>
      <c r="DQ419" s="67">
        <v>59681.67</v>
      </c>
      <c r="DR419" s="53">
        <v>19.8</v>
      </c>
      <c r="DS419" s="58">
        <v>56.6</v>
      </c>
      <c r="DT419" s="53">
        <v>49.3</v>
      </c>
      <c r="DU419" s="55">
        <v>4.55</v>
      </c>
      <c r="DV419" s="50">
        <v>26.5</v>
      </c>
      <c r="DW419" s="53">
        <v>43.2</v>
      </c>
      <c r="DX419" s="53">
        <v>76.667599999999993</v>
      </c>
      <c r="DY419" s="53">
        <v>44.3</v>
      </c>
      <c r="DZ419" s="63"/>
    </row>
    <row r="420" spans="1:130" s="5" customFormat="1" ht="14.25" hidden="1" customHeight="1">
      <c r="A420" s="45">
        <v>1398</v>
      </c>
      <c r="B420" s="46" t="s">
        <v>357</v>
      </c>
      <c r="C420" s="47">
        <v>2004</v>
      </c>
      <c r="D420" s="47" t="s">
        <v>374</v>
      </c>
      <c r="E420" s="46" t="s">
        <v>375</v>
      </c>
      <c r="F420" s="46">
        <v>4</v>
      </c>
      <c r="G420" s="48">
        <v>15000</v>
      </c>
      <c r="H420" s="46" t="s">
        <v>332</v>
      </c>
      <c r="I420" s="46">
        <v>1</v>
      </c>
      <c r="J420" s="46">
        <v>3</v>
      </c>
      <c r="K420" s="49" t="s">
        <v>378</v>
      </c>
      <c r="L420" s="49" t="s">
        <v>40</v>
      </c>
      <c r="M420" s="49" t="s">
        <v>35</v>
      </c>
      <c r="N420" s="49" t="s">
        <v>513</v>
      </c>
      <c r="O420" s="49"/>
      <c r="P420" s="49" t="s">
        <v>857</v>
      </c>
      <c r="Q420" s="49" t="s">
        <v>35</v>
      </c>
      <c r="R420" s="49">
        <v>2</v>
      </c>
      <c r="S420" s="50">
        <f t="shared" si="206"/>
        <v>66.666666666666657</v>
      </c>
      <c r="T420" s="49">
        <v>3</v>
      </c>
      <c r="U420" s="50">
        <f t="shared" si="207"/>
        <v>100</v>
      </c>
      <c r="V420" s="49" t="s">
        <v>791</v>
      </c>
      <c r="W420" s="49">
        <v>2</v>
      </c>
      <c r="X420" s="50">
        <f t="shared" si="208"/>
        <v>66.666666666666657</v>
      </c>
      <c r="Y420" s="51" t="str">
        <f t="shared" si="209"/>
        <v>Yes</v>
      </c>
      <c r="Z420" s="49" t="s">
        <v>29</v>
      </c>
      <c r="AA420" s="49" t="s">
        <v>35</v>
      </c>
      <c r="AB420" s="45" t="s">
        <v>35</v>
      </c>
      <c r="AC420" s="46" t="s">
        <v>26</v>
      </c>
      <c r="AD420" s="46" t="s">
        <v>27</v>
      </c>
      <c r="AE420" s="46" t="s">
        <v>89</v>
      </c>
      <c r="AF420" s="46" t="s">
        <v>29</v>
      </c>
      <c r="AG420" s="107">
        <v>54599</v>
      </c>
      <c r="AH420" s="70">
        <f>SUM(26503+10720+8656)</f>
        <v>45879</v>
      </c>
      <c r="AI420" s="70">
        <f>SUM(26503+10720+8656)</f>
        <v>45879</v>
      </c>
      <c r="AJ420" s="102">
        <v>57.8</v>
      </c>
      <c r="AK420" s="104">
        <v>115.6</v>
      </c>
      <c r="AL420" s="102">
        <v>57.8</v>
      </c>
      <c r="AM420" s="102"/>
      <c r="AN420" s="53">
        <f t="shared" si="210"/>
        <v>115.6</v>
      </c>
      <c r="AO420" s="53">
        <v>23.4</v>
      </c>
      <c r="AP420" s="102">
        <f t="shared" si="211"/>
        <v>8720</v>
      </c>
      <c r="AQ420" s="102">
        <f t="shared" si="212"/>
        <v>15.970988479642484</v>
      </c>
      <c r="AR420" s="102"/>
      <c r="AS420" s="102"/>
      <c r="AT420" s="102"/>
      <c r="AU420" s="102"/>
      <c r="AV420" s="102"/>
      <c r="AW420" s="102"/>
      <c r="AX420" s="102"/>
      <c r="AY420" s="102"/>
      <c r="AZ420" s="102"/>
      <c r="BA420" s="102"/>
      <c r="BB420" s="102"/>
      <c r="BC420" s="102"/>
      <c r="BD420" s="102"/>
      <c r="BE420" s="102"/>
      <c r="BF420" s="102"/>
      <c r="BG420" s="102"/>
      <c r="BH420" s="102"/>
      <c r="BI420" s="102"/>
      <c r="BJ420" s="102"/>
      <c r="BK420" s="102"/>
      <c r="BL420" s="102"/>
      <c r="BM420" s="102"/>
      <c r="BN420" s="102"/>
      <c r="BO420" s="102"/>
      <c r="BP420" s="102"/>
      <c r="BQ420" s="102"/>
      <c r="BR420" s="102"/>
      <c r="BS420" s="54" t="s">
        <v>23</v>
      </c>
      <c r="BT420" s="45" t="str">
        <f t="shared" si="202"/>
        <v>No</v>
      </c>
      <c r="BU420" s="45" t="str">
        <f t="shared" si="203"/>
        <v>No</v>
      </c>
      <c r="BV420" s="45" t="str">
        <f t="shared" si="204"/>
        <v>No</v>
      </c>
      <c r="BW420" s="55">
        <f t="shared" si="217"/>
        <v>54.919672974672686</v>
      </c>
      <c r="BX420" s="55"/>
      <c r="BY420" s="55">
        <v>56.149672974672683</v>
      </c>
      <c r="BZ420" s="55"/>
      <c r="CA420" s="45">
        <v>2004</v>
      </c>
      <c r="CB420" s="55">
        <f t="shared" si="214"/>
        <v>42.859545051146711</v>
      </c>
      <c r="CC420" s="46" t="s">
        <v>355</v>
      </c>
      <c r="CD420" s="46" t="s">
        <v>179</v>
      </c>
      <c r="CE420" s="46" t="s">
        <v>179</v>
      </c>
      <c r="CF420" s="46">
        <v>1</v>
      </c>
      <c r="CG420" s="46" t="str">
        <f t="shared" si="215"/>
        <v>No</v>
      </c>
      <c r="CH420" s="46" t="s">
        <v>35</v>
      </c>
      <c r="CI420" s="56">
        <v>0</v>
      </c>
      <c r="CJ420" s="46">
        <v>20</v>
      </c>
      <c r="CK420" s="46" t="s">
        <v>23</v>
      </c>
      <c r="CL420" s="49" t="s">
        <v>29</v>
      </c>
      <c r="CM420" s="50">
        <v>0</v>
      </c>
      <c r="CN420" s="50"/>
      <c r="CO420" s="50"/>
      <c r="CP420" s="46" t="s">
        <v>35</v>
      </c>
      <c r="CQ420" s="46" t="s">
        <v>24</v>
      </c>
      <c r="CR420" s="46">
        <v>7</v>
      </c>
      <c r="CS420" s="46" t="s">
        <v>854</v>
      </c>
      <c r="CT420" s="46" t="s">
        <v>53</v>
      </c>
      <c r="CU420" s="46" t="s">
        <v>29</v>
      </c>
      <c r="CV420" s="46" t="s">
        <v>23</v>
      </c>
      <c r="CW420" s="46" t="s">
        <v>23</v>
      </c>
      <c r="CX420" s="49" t="s">
        <v>561</v>
      </c>
      <c r="CY420" s="49" t="s">
        <v>59</v>
      </c>
      <c r="CZ420" s="49">
        <v>0</v>
      </c>
      <c r="DA420" s="49">
        <v>0</v>
      </c>
      <c r="DB420" s="64">
        <v>107045</v>
      </c>
      <c r="DC420" s="58">
        <v>31.46</v>
      </c>
      <c r="DD420" s="58">
        <v>2.7</v>
      </c>
      <c r="DE420" s="58">
        <v>48.82</v>
      </c>
      <c r="DF420" s="58">
        <v>14.27</v>
      </c>
      <c r="DG420" s="58">
        <v>2.7499999999999858</v>
      </c>
      <c r="DH420" s="58">
        <v>68.540000000000006</v>
      </c>
      <c r="DI420" s="45" t="s">
        <v>35</v>
      </c>
      <c r="DJ420" s="59" t="str">
        <f t="shared" si="216"/>
        <v>No single majority group</v>
      </c>
      <c r="DK420" s="65">
        <v>15733</v>
      </c>
      <c r="DL420" s="58">
        <v>70.48</v>
      </c>
      <c r="DM420" s="58">
        <v>2.56</v>
      </c>
      <c r="DN420" s="58">
        <v>5.62</v>
      </c>
      <c r="DO420" s="58">
        <v>77.510000000000005</v>
      </c>
      <c r="DP420" s="66">
        <v>48.2</v>
      </c>
      <c r="DQ420" s="67">
        <v>59681.67</v>
      </c>
      <c r="DR420" s="53">
        <v>19.8</v>
      </c>
      <c r="DS420" s="58">
        <v>56.6</v>
      </c>
      <c r="DT420" s="53">
        <v>49.3</v>
      </c>
      <c r="DU420" s="55">
        <v>4.55</v>
      </c>
      <c r="DV420" s="50">
        <v>26.5</v>
      </c>
      <c r="DW420" s="53">
        <v>43.2</v>
      </c>
      <c r="DX420" s="53">
        <v>76.667599999999993</v>
      </c>
      <c r="DY420" s="53">
        <v>44.3</v>
      </c>
      <c r="DZ420" s="63"/>
    </row>
    <row r="421" spans="1:130" s="5" customFormat="1" ht="14.25" hidden="1" customHeight="1">
      <c r="A421" s="45">
        <v>1395</v>
      </c>
      <c r="B421" s="46" t="s">
        <v>357</v>
      </c>
      <c r="C421" s="47">
        <v>2004</v>
      </c>
      <c r="D421" s="47" t="s">
        <v>38</v>
      </c>
      <c r="E421" s="46" t="s">
        <v>22</v>
      </c>
      <c r="F421" s="46">
        <v>2</v>
      </c>
      <c r="G421" s="48">
        <v>17000</v>
      </c>
      <c r="H421" s="46" t="s">
        <v>332</v>
      </c>
      <c r="I421" s="46">
        <v>1</v>
      </c>
      <c r="J421" s="46">
        <v>2</v>
      </c>
      <c r="K421" s="49" t="s">
        <v>358</v>
      </c>
      <c r="L421" s="49" t="s">
        <v>30</v>
      </c>
      <c r="M421" s="49" t="s">
        <v>29</v>
      </c>
      <c r="N421" s="49" t="s">
        <v>513</v>
      </c>
      <c r="O421" s="49"/>
      <c r="P421" s="49" t="s">
        <v>857</v>
      </c>
      <c r="Q421" s="49" t="s">
        <v>35</v>
      </c>
      <c r="R421" s="49">
        <v>0</v>
      </c>
      <c r="S421" s="50">
        <f t="shared" si="206"/>
        <v>0</v>
      </c>
      <c r="T421" s="49">
        <v>1</v>
      </c>
      <c r="U421" s="50">
        <f t="shared" si="207"/>
        <v>50</v>
      </c>
      <c r="V421" s="49" t="s">
        <v>789</v>
      </c>
      <c r="W421" s="49">
        <v>0</v>
      </c>
      <c r="X421" s="50">
        <f t="shared" si="208"/>
        <v>0</v>
      </c>
      <c r="Y421" s="51" t="str">
        <f t="shared" si="209"/>
        <v>No</v>
      </c>
      <c r="Z421" s="49" t="s">
        <v>29</v>
      </c>
      <c r="AA421" s="49" t="s">
        <v>35</v>
      </c>
      <c r="AB421" s="49" t="s">
        <v>29</v>
      </c>
      <c r="AC421" s="46" t="s">
        <v>26</v>
      </c>
      <c r="AD421" s="46" t="s">
        <v>27</v>
      </c>
      <c r="AE421" s="46" t="s">
        <v>89</v>
      </c>
      <c r="AF421" s="46" t="s">
        <v>29</v>
      </c>
      <c r="AG421" s="107">
        <v>54599</v>
      </c>
      <c r="AH421" s="70">
        <f>SUM(38634+9327)</f>
        <v>47961</v>
      </c>
      <c r="AI421" s="70">
        <f>SUM(38634+9327)</f>
        <v>47961</v>
      </c>
      <c r="AJ421" s="102">
        <v>80.599999999999994</v>
      </c>
      <c r="AK421" s="104">
        <v>161.19999999999999</v>
      </c>
      <c r="AL421" s="102">
        <v>80.599999999999994</v>
      </c>
      <c r="AM421" s="102"/>
      <c r="AN421" s="53">
        <f t="shared" si="210"/>
        <v>161.19999999999999</v>
      </c>
      <c r="AO421" s="53">
        <v>19.399999999999999</v>
      </c>
      <c r="AP421" s="102">
        <f t="shared" si="211"/>
        <v>6638</v>
      </c>
      <c r="AQ421" s="102">
        <f t="shared" si="212"/>
        <v>12.157731826590231</v>
      </c>
      <c r="AR421" s="102"/>
      <c r="AS421" s="102"/>
      <c r="AT421" s="102"/>
      <c r="AU421" s="102"/>
      <c r="AV421" s="102"/>
      <c r="AW421" s="102"/>
      <c r="AX421" s="102"/>
      <c r="AY421" s="102"/>
      <c r="AZ421" s="102"/>
      <c r="BA421" s="102"/>
      <c r="BB421" s="102"/>
      <c r="BC421" s="102"/>
      <c r="BD421" s="102"/>
      <c r="BE421" s="102"/>
      <c r="BF421" s="102"/>
      <c r="BG421" s="102"/>
      <c r="BH421" s="102"/>
      <c r="BI421" s="102"/>
      <c r="BJ421" s="102"/>
      <c r="BK421" s="102"/>
      <c r="BL421" s="102"/>
      <c r="BM421" s="102"/>
      <c r="BN421" s="102"/>
      <c r="BO421" s="102"/>
      <c r="BP421" s="102"/>
      <c r="BQ421" s="102"/>
      <c r="BR421" s="102"/>
      <c r="BS421" s="54" t="s">
        <v>23</v>
      </c>
      <c r="BT421" s="45" t="str">
        <f t="shared" si="202"/>
        <v>No</v>
      </c>
      <c r="BU421" s="45" t="str">
        <f t="shared" si="203"/>
        <v>No</v>
      </c>
      <c r="BV421" s="45" t="str">
        <f t="shared" si="204"/>
        <v>No</v>
      </c>
      <c r="BW421" s="55">
        <f t="shared" si="217"/>
        <v>54.919672974672686</v>
      </c>
      <c r="BX421" s="55">
        <f>(28818/(28818+23655))*100</f>
        <v>54.919672974672686</v>
      </c>
      <c r="BY421" s="55">
        <v>56.149672974672683</v>
      </c>
      <c r="BZ421" s="55">
        <f>BX421-(-0.0246*100/2)</f>
        <v>56.149672974672683</v>
      </c>
      <c r="CA421" s="45">
        <v>2004</v>
      </c>
      <c r="CB421" s="55">
        <f t="shared" si="214"/>
        <v>44.804521462936151</v>
      </c>
      <c r="CC421" s="46" t="s">
        <v>39</v>
      </c>
      <c r="CD421" s="46" t="s">
        <v>179</v>
      </c>
      <c r="CE421" s="46" t="s">
        <v>179</v>
      </c>
      <c r="CF421" s="46">
        <v>1</v>
      </c>
      <c r="CG421" s="46" t="str">
        <f t="shared" si="215"/>
        <v>No</v>
      </c>
      <c r="CH421" s="46" t="s">
        <v>35</v>
      </c>
      <c r="CI421" s="56">
        <v>0</v>
      </c>
      <c r="CJ421" s="46">
        <v>20</v>
      </c>
      <c r="CK421" s="46" t="s">
        <v>23</v>
      </c>
      <c r="CL421" s="49" t="s">
        <v>29</v>
      </c>
      <c r="CM421" s="50">
        <v>0</v>
      </c>
      <c r="CN421" s="50"/>
      <c r="CO421" s="50"/>
      <c r="CP421" s="46" t="s">
        <v>23</v>
      </c>
      <c r="CQ421" s="46" t="s">
        <v>23</v>
      </c>
      <c r="CR421" s="46">
        <v>7</v>
      </c>
      <c r="CS421" s="46" t="s">
        <v>854</v>
      </c>
      <c r="CT421" s="46" t="s">
        <v>53</v>
      </c>
      <c r="CU421" s="46" t="s">
        <v>29</v>
      </c>
      <c r="CV421" s="46" t="s">
        <v>23</v>
      </c>
      <c r="CW421" s="46" t="s">
        <v>23</v>
      </c>
      <c r="CX421" s="49" t="s">
        <v>561</v>
      </c>
      <c r="CY421" s="49" t="s">
        <v>59</v>
      </c>
      <c r="CZ421" s="49">
        <v>0</v>
      </c>
      <c r="DA421" s="49">
        <v>0</v>
      </c>
      <c r="DB421" s="64">
        <v>107045</v>
      </c>
      <c r="DC421" s="58">
        <v>31.46</v>
      </c>
      <c r="DD421" s="58">
        <v>2.7</v>
      </c>
      <c r="DE421" s="58">
        <v>48.82</v>
      </c>
      <c r="DF421" s="58">
        <v>14.27</v>
      </c>
      <c r="DG421" s="58">
        <v>2.7499999999999858</v>
      </c>
      <c r="DH421" s="58">
        <v>68.540000000000006</v>
      </c>
      <c r="DI421" s="45" t="s">
        <v>35</v>
      </c>
      <c r="DJ421" s="59" t="str">
        <f t="shared" si="216"/>
        <v>No single majority group</v>
      </c>
      <c r="DK421" s="65">
        <v>107045</v>
      </c>
      <c r="DL421" s="58">
        <v>31.46</v>
      </c>
      <c r="DM421" s="58">
        <v>2.7</v>
      </c>
      <c r="DN421" s="58">
        <v>48.82</v>
      </c>
      <c r="DO421" s="58">
        <v>68.540000000000006</v>
      </c>
      <c r="DP421" s="66">
        <v>48.2</v>
      </c>
      <c r="DQ421" s="67">
        <v>59681.67</v>
      </c>
      <c r="DR421" s="53">
        <v>19.8</v>
      </c>
      <c r="DS421" s="58">
        <v>56.6</v>
      </c>
      <c r="DT421" s="53">
        <v>49.3</v>
      </c>
      <c r="DU421" s="55">
        <v>4.55</v>
      </c>
      <c r="DV421" s="50">
        <v>26.5</v>
      </c>
      <c r="DW421" s="53">
        <v>43.2</v>
      </c>
      <c r="DX421" s="53">
        <v>76.667599999999993</v>
      </c>
      <c r="DY421" s="53">
        <v>44.3</v>
      </c>
      <c r="DZ421" s="63"/>
    </row>
    <row r="422" spans="1:130" s="5" customFormat="1" ht="14.25" hidden="1" customHeight="1">
      <c r="A422" s="45">
        <v>1392</v>
      </c>
      <c r="B422" s="46" t="s">
        <v>357</v>
      </c>
      <c r="C422" s="47">
        <v>2006</v>
      </c>
      <c r="D422" s="47" t="s">
        <v>359</v>
      </c>
      <c r="E422" s="46" t="s">
        <v>360</v>
      </c>
      <c r="F422" s="46">
        <v>4</v>
      </c>
      <c r="G422" s="48">
        <v>15000</v>
      </c>
      <c r="H422" s="46" t="s">
        <v>332</v>
      </c>
      <c r="I422" s="46">
        <v>1</v>
      </c>
      <c r="J422" s="46">
        <v>4</v>
      </c>
      <c r="K422" s="49" t="s">
        <v>361</v>
      </c>
      <c r="L422" s="49" t="s">
        <v>40</v>
      </c>
      <c r="M422" s="49" t="s">
        <v>35</v>
      </c>
      <c r="N422" s="49" t="s">
        <v>512</v>
      </c>
      <c r="O422" s="49"/>
      <c r="P422" s="49" t="s">
        <v>857</v>
      </c>
      <c r="Q422" s="49" t="s">
        <v>35</v>
      </c>
      <c r="R422" s="49">
        <v>3</v>
      </c>
      <c r="S422" s="50">
        <f t="shared" si="206"/>
        <v>75</v>
      </c>
      <c r="T422" s="49">
        <v>3</v>
      </c>
      <c r="U422" s="50">
        <f t="shared" si="207"/>
        <v>75</v>
      </c>
      <c r="V422" s="49" t="s">
        <v>791</v>
      </c>
      <c r="W422" s="49">
        <v>2</v>
      </c>
      <c r="X422" s="50">
        <f t="shared" si="208"/>
        <v>50</v>
      </c>
      <c r="Y422" s="51" t="str">
        <f t="shared" si="209"/>
        <v>Yes</v>
      </c>
      <c r="Z422" s="49" t="s">
        <v>35</v>
      </c>
      <c r="AA422" s="49" t="s">
        <v>23</v>
      </c>
      <c r="AB422" s="49" t="s">
        <v>23</v>
      </c>
      <c r="AC422" s="46" t="s">
        <v>26</v>
      </c>
      <c r="AD422" s="46" t="s">
        <v>27</v>
      </c>
      <c r="AE422" s="46" t="s">
        <v>73</v>
      </c>
      <c r="AF422" s="46" t="s">
        <v>29</v>
      </c>
      <c r="AG422" s="107">
        <v>38181</v>
      </c>
      <c r="AH422" s="70">
        <f>SUM(10335+9595+8806+2997)</f>
        <v>31733</v>
      </c>
      <c r="AI422" s="70">
        <f>SUM(10335+9595+8806+2997)</f>
        <v>31733</v>
      </c>
      <c r="AJ422" s="102">
        <v>32.6</v>
      </c>
      <c r="AK422" s="104">
        <v>65.2</v>
      </c>
      <c r="AL422" s="102">
        <v>32.6</v>
      </c>
      <c r="AM422" s="102"/>
      <c r="AN422" s="53">
        <f t="shared" si="210"/>
        <v>65.2</v>
      </c>
      <c r="AO422" s="53">
        <v>30.2</v>
      </c>
      <c r="AP422" s="102">
        <f t="shared" si="211"/>
        <v>6448</v>
      </c>
      <c r="AQ422" s="102">
        <f t="shared" si="212"/>
        <v>16.887980932924755</v>
      </c>
      <c r="AR422" s="102"/>
      <c r="AS422" s="102"/>
      <c r="AT422" s="102"/>
      <c r="AU422" s="102"/>
      <c r="AV422" s="102"/>
      <c r="AW422" s="102"/>
      <c r="AX422" s="102"/>
      <c r="AY422" s="102"/>
      <c r="AZ422" s="102"/>
      <c r="BA422" s="102"/>
      <c r="BB422" s="102"/>
      <c r="BC422" s="102"/>
      <c r="BD422" s="102"/>
      <c r="BE422" s="102"/>
      <c r="BF422" s="102"/>
      <c r="BG422" s="102"/>
      <c r="BH422" s="102"/>
      <c r="BI422" s="102"/>
      <c r="BJ422" s="102"/>
      <c r="BK422" s="102"/>
      <c r="BL422" s="102"/>
      <c r="BM422" s="102"/>
      <c r="BN422" s="102"/>
      <c r="BO422" s="102"/>
      <c r="BP422" s="102"/>
      <c r="BQ422" s="102"/>
      <c r="BR422" s="102"/>
      <c r="BS422" s="54" t="s">
        <v>23</v>
      </c>
      <c r="BT422" s="45" t="str">
        <f t="shared" si="202"/>
        <v>Yes</v>
      </c>
      <c r="BU422" s="45" t="str">
        <f t="shared" si="203"/>
        <v>Yes</v>
      </c>
      <c r="BV422" s="45" t="str">
        <f t="shared" si="204"/>
        <v>Yes</v>
      </c>
      <c r="BW422" s="55">
        <f t="shared" si="217"/>
        <v>54.919672974672686</v>
      </c>
      <c r="BX422" s="55"/>
      <c r="BY422" s="55">
        <v>56.149672974672683</v>
      </c>
      <c r="BZ422" s="55"/>
      <c r="CA422" s="45">
        <v>2004</v>
      </c>
      <c r="CB422" s="55">
        <f t="shared" si="214"/>
        <v>26.34646519158122</v>
      </c>
      <c r="CC422" s="46" t="s">
        <v>355</v>
      </c>
      <c r="CD422" s="46" t="s">
        <v>179</v>
      </c>
      <c r="CE422" s="46" t="s">
        <v>179</v>
      </c>
      <c r="CF422" s="46">
        <v>1</v>
      </c>
      <c r="CG422" s="46" t="str">
        <f t="shared" si="215"/>
        <v>No</v>
      </c>
      <c r="CH422" s="46" t="s">
        <v>35</v>
      </c>
      <c r="CI422" s="56">
        <v>0</v>
      </c>
      <c r="CJ422" s="46">
        <v>20</v>
      </c>
      <c r="CK422" s="46" t="s">
        <v>23</v>
      </c>
      <c r="CL422" s="49" t="s">
        <v>29</v>
      </c>
      <c r="CM422" s="50">
        <v>0</v>
      </c>
      <c r="CN422" s="50"/>
      <c r="CO422" s="50"/>
      <c r="CP422" s="46" t="s">
        <v>35</v>
      </c>
      <c r="CQ422" s="46" t="s">
        <v>24</v>
      </c>
      <c r="CR422" s="46">
        <v>7</v>
      </c>
      <c r="CS422" s="46" t="s">
        <v>854</v>
      </c>
      <c r="CT422" s="46" t="s">
        <v>53</v>
      </c>
      <c r="CU422" s="46" t="s">
        <v>29</v>
      </c>
      <c r="CV422" s="46" t="s">
        <v>23</v>
      </c>
      <c r="CW422" s="46" t="s">
        <v>23</v>
      </c>
      <c r="CX422" s="49" t="s">
        <v>560</v>
      </c>
      <c r="CY422" s="49" t="s">
        <v>59</v>
      </c>
      <c r="CZ422" s="49">
        <v>0</v>
      </c>
      <c r="DA422" s="49">
        <v>0</v>
      </c>
      <c r="DB422" s="64">
        <v>120445</v>
      </c>
      <c r="DC422" s="58">
        <v>25.169999999999998</v>
      </c>
      <c r="DD422" s="58">
        <v>2.67</v>
      </c>
      <c r="DE422" s="58">
        <v>54.82</v>
      </c>
      <c r="DF422" s="58">
        <v>15.690000000000001</v>
      </c>
      <c r="DG422" s="58">
        <v>1.6499999999999959</v>
      </c>
      <c r="DH422" s="58">
        <v>74.83</v>
      </c>
      <c r="DI422" s="45" t="s">
        <v>35</v>
      </c>
      <c r="DJ422" s="59" t="str">
        <f t="shared" si="216"/>
        <v>Latino</v>
      </c>
      <c r="DK422" s="65">
        <v>12564</v>
      </c>
      <c r="DL422" s="58">
        <v>41.04</v>
      </c>
      <c r="DM422" s="58">
        <v>37.090000000000003</v>
      </c>
      <c r="DN422" s="58">
        <v>7.7</v>
      </c>
      <c r="DO422" s="58">
        <v>82.679999999999993</v>
      </c>
      <c r="DP422" s="66">
        <v>45.45</v>
      </c>
      <c r="DQ422" s="67">
        <v>60162.51</v>
      </c>
      <c r="DR422" s="53">
        <v>17.3</v>
      </c>
      <c r="DS422" s="58">
        <v>66.3</v>
      </c>
      <c r="DT422" s="53">
        <v>48.9</v>
      </c>
      <c r="DU422" s="55">
        <v>4.38</v>
      </c>
      <c r="DV422" s="50">
        <v>28.2</v>
      </c>
      <c r="DW422" s="53">
        <v>51</v>
      </c>
      <c r="DX422" s="53">
        <v>93.13</v>
      </c>
      <c r="DY422" s="53">
        <v>55.911700000000003</v>
      </c>
      <c r="DZ422" s="63"/>
    </row>
    <row r="423" spans="1:130" s="5" customFormat="1" ht="14.25" hidden="1" customHeight="1">
      <c r="A423" s="45">
        <v>1393</v>
      </c>
      <c r="B423" s="46" t="s">
        <v>357</v>
      </c>
      <c r="C423" s="47">
        <v>2006</v>
      </c>
      <c r="D423" s="47" t="s">
        <v>362</v>
      </c>
      <c r="E423" s="46" t="s">
        <v>363</v>
      </c>
      <c r="F423" s="46">
        <v>4</v>
      </c>
      <c r="G423" s="48">
        <v>15000</v>
      </c>
      <c r="H423" s="46" t="s">
        <v>332</v>
      </c>
      <c r="I423" s="46">
        <v>1</v>
      </c>
      <c r="J423" s="46">
        <v>2</v>
      </c>
      <c r="K423" s="49" t="s">
        <v>364</v>
      </c>
      <c r="L423" s="49" t="s">
        <v>30</v>
      </c>
      <c r="M423" s="49" t="s">
        <v>29</v>
      </c>
      <c r="N423" s="49" t="s">
        <v>512</v>
      </c>
      <c r="O423" s="49"/>
      <c r="P423" s="49" t="s">
        <v>857</v>
      </c>
      <c r="Q423" s="49" t="s">
        <v>35</v>
      </c>
      <c r="R423" s="49">
        <v>1</v>
      </c>
      <c r="S423" s="50">
        <f t="shared" si="206"/>
        <v>50</v>
      </c>
      <c r="T423" s="49">
        <v>2</v>
      </c>
      <c r="U423" s="50">
        <f t="shared" si="207"/>
        <v>100</v>
      </c>
      <c r="V423" s="49" t="s">
        <v>794</v>
      </c>
      <c r="W423" s="49">
        <v>1</v>
      </c>
      <c r="X423" s="50">
        <f t="shared" si="208"/>
        <v>50</v>
      </c>
      <c r="Y423" s="51" t="str">
        <f t="shared" si="209"/>
        <v>No</v>
      </c>
      <c r="Z423" s="49" t="s">
        <v>35</v>
      </c>
      <c r="AA423" s="49" t="s">
        <v>23</v>
      </c>
      <c r="AB423" s="49" t="s">
        <v>23</v>
      </c>
      <c r="AC423" s="46" t="s">
        <v>26</v>
      </c>
      <c r="AD423" s="46" t="s">
        <v>27</v>
      </c>
      <c r="AE423" s="46" t="s">
        <v>73</v>
      </c>
      <c r="AF423" s="46" t="s">
        <v>29</v>
      </c>
      <c r="AG423" s="107">
        <v>38181</v>
      </c>
      <c r="AH423" s="70">
        <f>SUM(20253+10829)</f>
        <v>31082</v>
      </c>
      <c r="AI423" s="70">
        <f>SUM(20253+10829)</f>
        <v>31082</v>
      </c>
      <c r="AJ423" s="102">
        <v>65.2</v>
      </c>
      <c r="AK423" s="104">
        <v>130.4</v>
      </c>
      <c r="AL423" s="102">
        <v>65.2</v>
      </c>
      <c r="AM423" s="102"/>
      <c r="AN423" s="53">
        <f t="shared" si="210"/>
        <v>130.4</v>
      </c>
      <c r="AO423" s="53">
        <v>34.799999999999997</v>
      </c>
      <c r="AP423" s="102">
        <f t="shared" si="211"/>
        <v>7099</v>
      </c>
      <c r="AQ423" s="102">
        <f t="shared" si="212"/>
        <v>18.593017469421962</v>
      </c>
      <c r="AR423" s="102"/>
      <c r="AS423" s="102"/>
      <c r="AT423" s="102"/>
      <c r="AU423" s="102"/>
      <c r="AV423" s="102"/>
      <c r="AW423" s="102"/>
      <c r="AX423" s="102"/>
      <c r="AY423" s="102"/>
      <c r="AZ423" s="102"/>
      <c r="BA423" s="102"/>
      <c r="BB423" s="102"/>
      <c r="BC423" s="102"/>
      <c r="BD423" s="102"/>
      <c r="BE423" s="102"/>
      <c r="BF423" s="102"/>
      <c r="BG423" s="102"/>
      <c r="BH423" s="102"/>
      <c r="BI423" s="102"/>
      <c r="BJ423" s="102"/>
      <c r="BK423" s="102"/>
      <c r="BL423" s="102"/>
      <c r="BM423" s="102"/>
      <c r="BN423" s="102"/>
      <c r="BO423" s="102"/>
      <c r="BP423" s="102"/>
      <c r="BQ423" s="102"/>
      <c r="BR423" s="102"/>
      <c r="BS423" s="54" t="s">
        <v>23</v>
      </c>
      <c r="BT423" s="45" t="str">
        <f t="shared" si="202"/>
        <v>Yes</v>
      </c>
      <c r="BU423" s="45" t="str">
        <f t="shared" si="203"/>
        <v>No</v>
      </c>
      <c r="BV423" s="45" t="str">
        <f t="shared" si="204"/>
        <v>No</v>
      </c>
      <c r="BW423" s="55">
        <f t="shared" si="217"/>
        <v>54.919672974672686</v>
      </c>
      <c r="BX423" s="55"/>
      <c r="BY423" s="55">
        <v>56.149672974672683</v>
      </c>
      <c r="BZ423" s="55"/>
      <c r="CA423" s="45">
        <v>2004</v>
      </c>
      <c r="CB423" s="55">
        <f t="shared" si="214"/>
        <v>25.805969529660842</v>
      </c>
      <c r="CC423" s="46" t="s">
        <v>355</v>
      </c>
      <c r="CD423" s="46" t="s">
        <v>179</v>
      </c>
      <c r="CE423" s="46" t="s">
        <v>179</v>
      </c>
      <c r="CF423" s="46">
        <v>1</v>
      </c>
      <c r="CG423" s="46" t="str">
        <f t="shared" si="215"/>
        <v>No</v>
      </c>
      <c r="CH423" s="46" t="s">
        <v>35</v>
      </c>
      <c r="CI423" s="56">
        <v>0</v>
      </c>
      <c r="CJ423" s="46">
        <v>20</v>
      </c>
      <c r="CK423" s="46" t="s">
        <v>23</v>
      </c>
      <c r="CL423" s="49" t="s">
        <v>29</v>
      </c>
      <c r="CM423" s="50">
        <v>0</v>
      </c>
      <c r="CN423" s="50"/>
      <c r="CO423" s="50"/>
      <c r="CP423" s="46" t="s">
        <v>35</v>
      </c>
      <c r="CQ423" s="46" t="s">
        <v>24</v>
      </c>
      <c r="CR423" s="46">
        <v>7</v>
      </c>
      <c r="CS423" s="46" t="s">
        <v>854</v>
      </c>
      <c r="CT423" s="46" t="s">
        <v>53</v>
      </c>
      <c r="CU423" s="46" t="s">
        <v>29</v>
      </c>
      <c r="CV423" s="46" t="s">
        <v>23</v>
      </c>
      <c r="CW423" s="46" t="s">
        <v>23</v>
      </c>
      <c r="CX423" s="49" t="s">
        <v>560</v>
      </c>
      <c r="CY423" s="49" t="s">
        <v>59</v>
      </c>
      <c r="CZ423" s="49">
        <v>0</v>
      </c>
      <c r="DA423" s="49">
        <v>0</v>
      </c>
      <c r="DB423" s="64">
        <v>120445</v>
      </c>
      <c r="DC423" s="58">
        <v>25.169999999999998</v>
      </c>
      <c r="DD423" s="58">
        <v>2.67</v>
      </c>
      <c r="DE423" s="58">
        <v>54.82</v>
      </c>
      <c r="DF423" s="58">
        <v>15.690000000000001</v>
      </c>
      <c r="DG423" s="58">
        <v>1.6499999999999959</v>
      </c>
      <c r="DH423" s="58">
        <v>74.83</v>
      </c>
      <c r="DI423" s="45" t="s">
        <v>35</v>
      </c>
      <c r="DJ423" s="59" t="str">
        <f t="shared" si="216"/>
        <v>Latino</v>
      </c>
      <c r="DK423" s="65">
        <v>14635</v>
      </c>
      <c r="DL423" s="58">
        <v>41.04</v>
      </c>
      <c r="DM423" s="58">
        <v>37.090000000000003</v>
      </c>
      <c r="DN423" s="58">
        <v>7.7</v>
      </c>
      <c r="DO423" s="58">
        <v>92.15</v>
      </c>
      <c r="DP423" s="66">
        <v>45.45</v>
      </c>
      <c r="DQ423" s="67">
        <v>60162.51</v>
      </c>
      <c r="DR423" s="53">
        <v>17.3</v>
      </c>
      <c r="DS423" s="58">
        <v>66.3</v>
      </c>
      <c r="DT423" s="53">
        <v>48.9</v>
      </c>
      <c r="DU423" s="55">
        <v>4.38</v>
      </c>
      <c r="DV423" s="50">
        <v>28.2</v>
      </c>
      <c r="DW423" s="53">
        <v>51</v>
      </c>
      <c r="DX423" s="53">
        <v>93.13</v>
      </c>
      <c r="DY423" s="53">
        <v>55.911700000000003</v>
      </c>
      <c r="DZ423" s="63"/>
    </row>
    <row r="424" spans="1:130" s="5" customFormat="1" ht="14.25" hidden="1" customHeight="1">
      <c r="A424" s="45">
        <v>1394</v>
      </c>
      <c r="B424" s="46" t="s">
        <v>357</v>
      </c>
      <c r="C424" s="47">
        <v>2006</v>
      </c>
      <c r="D424" s="47" t="s">
        <v>365</v>
      </c>
      <c r="E424" s="46" t="s">
        <v>366</v>
      </c>
      <c r="F424" s="46">
        <v>4</v>
      </c>
      <c r="G424" s="48">
        <v>15000</v>
      </c>
      <c r="H424" s="46" t="s">
        <v>332</v>
      </c>
      <c r="I424" s="46">
        <v>1</v>
      </c>
      <c r="J424" s="46">
        <v>3</v>
      </c>
      <c r="K424" s="49" t="s">
        <v>367</v>
      </c>
      <c r="L424" s="49" t="s">
        <v>30</v>
      </c>
      <c r="M424" s="49" t="s">
        <v>29</v>
      </c>
      <c r="N424" s="49" t="s">
        <v>512</v>
      </c>
      <c r="O424" s="49"/>
      <c r="P424" s="49" t="s">
        <v>857</v>
      </c>
      <c r="Q424" s="49" t="s">
        <v>35</v>
      </c>
      <c r="R424" s="49">
        <v>1</v>
      </c>
      <c r="S424" s="50">
        <f t="shared" si="206"/>
        <v>33.333333333333329</v>
      </c>
      <c r="T424" s="49">
        <v>1</v>
      </c>
      <c r="U424" s="50">
        <f t="shared" si="207"/>
        <v>33.333333333333329</v>
      </c>
      <c r="V424" s="49" t="s">
        <v>789</v>
      </c>
      <c r="W424" s="49">
        <v>0</v>
      </c>
      <c r="X424" s="50">
        <f t="shared" si="208"/>
        <v>0</v>
      </c>
      <c r="Y424" s="51" t="str">
        <f t="shared" si="209"/>
        <v>No</v>
      </c>
      <c r="Z424" s="49" t="s">
        <v>35</v>
      </c>
      <c r="AA424" s="49" t="s">
        <v>23</v>
      </c>
      <c r="AB424" s="49" t="s">
        <v>23</v>
      </c>
      <c r="AC424" s="46" t="s">
        <v>26</v>
      </c>
      <c r="AD424" s="46" t="s">
        <v>27</v>
      </c>
      <c r="AE424" s="46" t="s">
        <v>73</v>
      </c>
      <c r="AF424" s="46" t="s">
        <v>29</v>
      </c>
      <c r="AG424" s="107">
        <v>38181</v>
      </c>
      <c r="AH424" s="70">
        <f>SUM(13802+12922+5419)</f>
        <v>32143</v>
      </c>
      <c r="AI424" s="70">
        <f>SUM(13802+12922+5419)</f>
        <v>32143</v>
      </c>
      <c r="AJ424" s="102">
        <v>42.9</v>
      </c>
      <c r="AK424" s="104">
        <v>85.8</v>
      </c>
      <c r="AL424" s="102">
        <v>42.9</v>
      </c>
      <c r="AM424" s="102"/>
      <c r="AN424" s="53">
        <f t="shared" si="210"/>
        <v>85.8</v>
      </c>
      <c r="AO424" s="53">
        <v>40.200000000000003</v>
      </c>
      <c r="AP424" s="102">
        <f t="shared" si="211"/>
        <v>6038</v>
      </c>
      <c r="AQ424" s="102">
        <f t="shared" si="212"/>
        <v>15.814148398418062</v>
      </c>
      <c r="AR424" s="50"/>
      <c r="AS424" s="50"/>
      <c r="AT424" s="102"/>
      <c r="AU424" s="102"/>
      <c r="AV424" s="50"/>
      <c r="AW424" s="50"/>
      <c r="AX424" s="50"/>
      <c r="AY424" s="50"/>
      <c r="AZ424" s="102"/>
      <c r="BA424" s="102"/>
      <c r="BB424" s="102"/>
      <c r="BC424" s="102"/>
      <c r="BD424" s="50"/>
      <c r="BE424" s="50"/>
      <c r="BF424" s="50"/>
      <c r="BG424" s="50"/>
      <c r="BH424" s="102"/>
      <c r="BI424" s="102"/>
      <c r="BJ424" s="50"/>
      <c r="BK424" s="50"/>
      <c r="BL424" s="50"/>
      <c r="BM424" s="50"/>
      <c r="BN424" s="102"/>
      <c r="BO424" s="50"/>
      <c r="BP424" s="50"/>
      <c r="BQ424" s="50"/>
      <c r="BR424" s="102"/>
      <c r="BS424" s="54" t="s">
        <v>23</v>
      </c>
      <c r="BT424" s="45" t="str">
        <f t="shared" si="202"/>
        <v>Yes</v>
      </c>
      <c r="BU424" s="45" t="str">
        <f t="shared" si="203"/>
        <v>Yes</v>
      </c>
      <c r="BV424" s="45" t="str">
        <f t="shared" si="204"/>
        <v>Yes</v>
      </c>
      <c r="BW424" s="55">
        <f t="shared" si="217"/>
        <v>54.919672974672686</v>
      </c>
      <c r="BX424" s="55"/>
      <c r="BY424" s="55">
        <v>56.149672974672683</v>
      </c>
      <c r="BZ424" s="55"/>
      <c r="CA424" s="45">
        <v>2004</v>
      </c>
      <c r="CB424" s="55">
        <f t="shared" si="214"/>
        <v>26.686869525509572</v>
      </c>
      <c r="CC424" s="46" t="s">
        <v>355</v>
      </c>
      <c r="CD424" s="46" t="s">
        <v>179</v>
      </c>
      <c r="CE424" s="46" t="s">
        <v>179</v>
      </c>
      <c r="CF424" s="46">
        <v>1</v>
      </c>
      <c r="CG424" s="46" t="str">
        <f t="shared" si="215"/>
        <v>No</v>
      </c>
      <c r="CH424" s="46" t="s">
        <v>35</v>
      </c>
      <c r="CI424" s="56">
        <v>0</v>
      </c>
      <c r="CJ424" s="46">
        <v>20</v>
      </c>
      <c r="CK424" s="46" t="s">
        <v>23</v>
      </c>
      <c r="CL424" s="49" t="s">
        <v>29</v>
      </c>
      <c r="CM424" s="50">
        <v>0</v>
      </c>
      <c r="CN424" s="102"/>
      <c r="CO424" s="50"/>
      <c r="CP424" s="46" t="s">
        <v>35</v>
      </c>
      <c r="CQ424" s="46" t="s">
        <v>24</v>
      </c>
      <c r="CR424" s="46">
        <v>7</v>
      </c>
      <c r="CS424" s="46" t="s">
        <v>854</v>
      </c>
      <c r="CT424" s="46" t="s">
        <v>53</v>
      </c>
      <c r="CU424" s="46" t="s">
        <v>29</v>
      </c>
      <c r="CV424" s="46" t="s">
        <v>23</v>
      </c>
      <c r="CW424" s="46" t="s">
        <v>23</v>
      </c>
      <c r="CX424" s="49" t="s">
        <v>560</v>
      </c>
      <c r="CY424" s="49" t="s">
        <v>59</v>
      </c>
      <c r="CZ424" s="49">
        <v>0</v>
      </c>
      <c r="DA424" s="49">
        <v>0</v>
      </c>
      <c r="DB424" s="64">
        <v>120445</v>
      </c>
      <c r="DC424" s="58">
        <v>25.169999999999998</v>
      </c>
      <c r="DD424" s="58">
        <v>2.67</v>
      </c>
      <c r="DE424" s="58">
        <v>54.82</v>
      </c>
      <c r="DF424" s="58">
        <v>15.690000000000001</v>
      </c>
      <c r="DG424" s="58">
        <v>1.6499999999999959</v>
      </c>
      <c r="DH424" s="58">
        <v>74.83</v>
      </c>
      <c r="DI424" s="45" t="s">
        <v>35</v>
      </c>
      <c r="DJ424" s="59" t="str">
        <f t="shared" si="216"/>
        <v>Latino</v>
      </c>
      <c r="DK424" s="65">
        <v>29385</v>
      </c>
      <c r="DL424" s="58">
        <v>27.37</v>
      </c>
      <c r="DM424" s="58">
        <v>2.97</v>
      </c>
      <c r="DN424" s="58">
        <v>36.15</v>
      </c>
      <c r="DO424" s="58">
        <v>72.63</v>
      </c>
      <c r="DP424" s="66">
        <v>45.45</v>
      </c>
      <c r="DQ424" s="67">
        <v>60162.51</v>
      </c>
      <c r="DR424" s="53">
        <v>17.3</v>
      </c>
      <c r="DS424" s="58">
        <v>66.3</v>
      </c>
      <c r="DT424" s="53">
        <v>48.9</v>
      </c>
      <c r="DU424" s="55">
        <v>4.38</v>
      </c>
      <c r="DV424" s="50">
        <v>28.2</v>
      </c>
      <c r="DW424" s="53">
        <v>51</v>
      </c>
      <c r="DX424" s="53">
        <v>93.13</v>
      </c>
      <c r="DY424" s="53">
        <v>55.911700000000003</v>
      </c>
      <c r="DZ424" s="63"/>
    </row>
    <row r="425" spans="1:130" s="5" customFormat="1" ht="14.25" hidden="1" customHeight="1">
      <c r="A425" s="45">
        <v>1391</v>
      </c>
      <c r="B425" s="46" t="s">
        <v>357</v>
      </c>
      <c r="C425" s="47">
        <v>2006</v>
      </c>
      <c r="D425" s="47" t="s">
        <v>38</v>
      </c>
      <c r="E425" s="46" t="s">
        <v>22</v>
      </c>
      <c r="F425" s="46">
        <v>2</v>
      </c>
      <c r="G425" s="48">
        <v>17000</v>
      </c>
      <c r="H425" s="46" t="s">
        <v>332</v>
      </c>
      <c r="I425" s="46">
        <v>1</v>
      </c>
      <c r="J425" s="46">
        <v>3</v>
      </c>
      <c r="K425" s="49" t="s">
        <v>358</v>
      </c>
      <c r="L425" s="49" t="s">
        <v>30</v>
      </c>
      <c r="M425" s="49" t="s">
        <v>29</v>
      </c>
      <c r="N425" s="49" t="s">
        <v>513</v>
      </c>
      <c r="O425" s="49"/>
      <c r="P425" s="49" t="s">
        <v>857</v>
      </c>
      <c r="Q425" s="49" t="s">
        <v>35</v>
      </c>
      <c r="R425" s="49">
        <v>0</v>
      </c>
      <c r="S425" s="50">
        <f t="shared" si="206"/>
        <v>0</v>
      </c>
      <c r="T425" s="49">
        <v>1</v>
      </c>
      <c r="U425" s="50">
        <f t="shared" si="207"/>
        <v>33.333333333333329</v>
      </c>
      <c r="V425" s="49" t="s">
        <v>789</v>
      </c>
      <c r="W425" s="49">
        <v>0</v>
      </c>
      <c r="X425" s="50">
        <f t="shared" si="208"/>
        <v>0</v>
      </c>
      <c r="Y425" s="51" t="str">
        <f t="shared" si="209"/>
        <v>No</v>
      </c>
      <c r="Z425" s="49" t="s">
        <v>29</v>
      </c>
      <c r="AA425" s="49" t="s">
        <v>35</v>
      </c>
      <c r="AB425" s="49" t="s">
        <v>29</v>
      </c>
      <c r="AC425" s="46" t="s">
        <v>26</v>
      </c>
      <c r="AD425" s="46" t="s">
        <v>27</v>
      </c>
      <c r="AE425" s="46" t="s">
        <v>73</v>
      </c>
      <c r="AF425" s="46" t="s">
        <v>29</v>
      </c>
      <c r="AG425" s="107">
        <v>38181</v>
      </c>
      <c r="AH425" s="70">
        <f>SUM(23170+8262+2259)</f>
        <v>33691</v>
      </c>
      <c r="AI425" s="70">
        <f>SUM(23170+8262+2259)</f>
        <v>33691</v>
      </c>
      <c r="AJ425" s="102">
        <v>68.8</v>
      </c>
      <c r="AK425" s="104">
        <v>137.6</v>
      </c>
      <c r="AL425" s="102">
        <v>68.8</v>
      </c>
      <c r="AM425" s="102"/>
      <c r="AN425" s="53">
        <f t="shared" si="210"/>
        <v>137.6</v>
      </c>
      <c r="AO425" s="53">
        <v>24.5</v>
      </c>
      <c r="AP425" s="102">
        <f t="shared" si="211"/>
        <v>4490</v>
      </c>
      <c r="AQ425" s="102">
        <f t="shared" si="212"/>
        <v>11.759775804719624</v>
      </c>
      <c r="AR425" s="50"/>
      <c r="AS425" s="50"/>
      <c r="AT425" s="102"/>
      <c r="AU425" s="102"/>
      <c r="AV425" s="50"/>
      <c r="AW425" s="50"/>
      <c r="AX425" s="50"/>
      <c r="AY425" s="50"/>
      <c r="AZ425" s="102"/>
      <c r="BA425" s="102"/>
      <c r="BB425" s="102"/>
      <c r="BC425" s="102"/>
      <c r="BD425" s="50"/>
      <c r="BE425" s="50"/>
      <c r="BF425" s="50"/>
      <c r="BG425" s="50"/>
      <c r="BH425" s="102"/>
      <c r="BI425" s="102"/>
      <c r="BJ425" s="50"/>
      <c r="BK425" s="50"/>
      <c r="BL425" s="50"/>
      <c r="BM425" s="50"/>
      <c r="BN425" s="102"/>
      <c r="BO425" s="50"/>
      <c r="BP425" s="50"/>
      <c r="BQ425" s="50"/>
      <c r="BR425" s="102"/>
      <c r="BS425" s="54" t="s">
        <v>23</v>
      </c>
      <c r="BT425" s="45" t="str">
        <f t="shared" si="202"/>
        <v>No</v>
      </c>
      <c r="BU425" s="45" t="str">
        <f t="shared" si="203"/>
        <v>No</v>
      </c>
      <c r="BV425" s="45" t="str">
        <f t="shared" si="204"/>
        <v>No</v>
      </c>
      <c r="BW425" s="55">
        <f t="shared" si="217"/>
        <v>54.919672974672686</v>
      </c>
      <c r="BX425" s="55">
        <f>(28818/(28818+23655))*100</f>
        <v>54.919672974672686</v>
      </c>
      <c r="BY425" s="55">
        <v>56.149672974672683</v>
      </c>
      <c r="BZ425" s="55">
        <f>BX425-(-0.0246*100/2)</f>
        <v>56.149672974672683</v>
      </c>
      <c r="CA425" s="45">
        <v>2004</v>
      </c>
      <c r="CB425" s="55">
        <f t="shared" si="214"/>
        <v>27.972103449707337</v>
      </c>
      <c r="CC425" s="46" t="s">
        <v>39</v>
      </c>
      <c r="CD425" s="46" t="s">
        <v>179</v>
      </c>
      <c r="CE425" s="46" t="s">
        <v>179</v>
      </c>
      <c r="CF425" s="46">
        <v>1</v>
      </c>
      <c r="CG425" s="46" t="str">
        <f t="shared" si="215"/>
        <v>No</v>
      </c>
      <c r="CH425" s="46" t="s">
        <v>35</v>
      </c>
      <c r="CI425" s="56">
        <v>0</v>
      </c>
      <c r="CJ425" s="46">
        <v>20</v>
      </c>
      <c r="CK425" s="46" t="s">
        <v>23</v>
      </c>
      <c r="CL425" s="49" t="s">
        <v>29</v>
      </c>
      <c r="CM425" s="50">
        <v>0</v>
      </c>
      <c r="CN425" s="50"/>
      <c r="CO425" s="50"/>
      <c r="CP425" s="46" t="s">
        <v>23</v>
      </c>
      <c r="CQ425" s="46" t="s">
        <v>23</v>
      </c>
      <c r="CR425" s="46">
        <v>7</v>
      </c>
      <c r="CS425" s="46" t="s">
        <v>854</v>
      </c>
      <c r="CT425" s="46" t="s">
        <v>53</v>
      </c>
      <c r="CU425" s="46" t="s">
        <v>29</v>
      </c>
      <c r="CV425" s="46" t="s">
        <v>23</v>
      </c>
      <c r="CW425" s="46" t="s">
        <v>23</v>
      </c>
      <c r="CX425" s="49" t="s">
        <v>560</v>
      </c>
      <c r="CY425" s="49" t="s">
        <v>59</v>
      </c>
      <c r="CZ425" s="49">
        <v>0</v>
      </c>
      <c r="DA425" s="49">
        <v>0</v>
      </c>
      <c r="DB425" s="64">
        <v>120445</v>
      </c>
      <c r="DC425" s="58">
        <v>25.169999999999998</v>
      </c>
      <c r="DD425" s="58">
        <v>2.67</v>
      </c>
      <c r="DE425" s="58">
        <v>54.82</v>
      </c>
      <c r="DF425" s="58">
        <v>15.690000000000001</v>
      </c>
      <c r="DG425" s="58">
        <v>1.6499999999999959</v>
      </c>
      <c r="DH425" s="58">
        <v>74.83</v>
      </c>
      <c r="DI425" s="45" t="s">
        <v>35</v>
      </c>
      <c r="DJ425" s="59" t="str">
        <f t="shared" si="216"/>
        <v>Latino</v>
      </c>
      <c r="DK425" s="65">
        <v>120445</v>
      </c>
      <c r="DL425" s="58">
        <v>25.169999999999998</v>
      </c>
      <c r="DM425" s="58">
        <v>2.67</v>
      </c>
      <c r="DN425" s="58">
        <v>54.82</v>
      </c>
      <c r="DO425" s="58">
        <v>74.83</v>
      </c>
      <c r="DP425" s="66">
        <v>45.45</v>
      </c>
      <c r="DQ425" s="67">
        <v>60162.51</v>
      </c>
      <c r="DR425" s="53">
        <v>17.3</v>
      </c>
      <c r="DS425" s="58">
        <v>66.3</v>
      </c>
      <c r="DT425" s="53">
        <v>48.9</v>
      </c>
      <c r="DU425" s="55">
        <v>4.38</v>
      </c>
      <c r="DV425" s="50">
        <v>28.2</v>
      </c>
      <c r="DW425" s="53">
        <v>51</v>
      </c>
      <c r="DX425" s="53">
        <v>93.13</v>
      </c>
      <c r="DY425" s="53">
        <v>55.911700000000003</v>
      </c>
      <c r="DZ425" s="63"/>
    </row>
    <row r="426" spans="1:130" s="5" customFormat="1" ht="14.25" hidden="1" customHeight="1">
      <c r="A426" s="45">
        <v>1388</v>
      </c>
      <c r="B426" s="46" t="s">
        <v>357</v>
      </c>
      <c r="C426" s="47">
        <v>2008</v>
      </c>
      <c r="D426" s="47" t="s">
        <v>368</v>
      </c>
      <c r="E426" s="46" t="s">
        <v>369</v>
      </c>
      <c r="F426" s="46">
        <v>4</v>
      </c>
      <c r="G426" s="48">
        <v>15000</v>
      </c>
      <c r="H426" s="46" t="s">
        <v>332</v>
      </c>
      <c r="I426" s="46">
        <v>1</v>
      </c>
      <c r="J426" s="46">
        <v>2</v>
      </c>
      <c r="K426" s="49" t="s">
        <v>370</v>
      </c>
      <c r="L426" s="49" t="s">
        <v>30</v>
      </c>
      <c r="M426" s="49" t="s">
        <v>29</v>
      </c>
      <c r="N426" s="49" t="s">
        <v>512</v>
      </c>
      <c r="O426" s="49"/>
      <c r="P426" s="49" t="s">
        <v>857</v>
      </c>
      <c r="Q426" s="49" t="s">
        <v>35</v>
      </c>
      <c r="R426" s="49">
        <v>0</v>
      </c>
      <c r="S426" s="50">
        <f t="shared" si="206"/>
        <v>0</v>
      </c>
      <c r="T426" s="49">
        <v>1</v>
      </c>
      <c r="U426" s="50">
        <f t="shared" si="207"/>
        <v>50</v>
      </c>
      <c r="V426" s="49" t="s">
        <v>789</v>
      </c>
      <c r="W426" s="49">
        <v>0</v>
      </c>
      <c r="X426" s="50">
        <f t="shared" si="208"/>
        <v>0</v>
      </c>
      <c r="Y426" s="51" t="str">
        <f t="shared" si="209"/>
        <v>No</v>
      </c>
      <c r="Z426" s="49" t="s">
        <v>35</v>
      </c>
      <c r="AA426" s="49" t="s">
        <v>23</v>
      </c>
      <c r="AB426" s="49" t="s">
        <v>23</v>
      </c>
      <c r="AC426" s="46" t="s">
        <v>26</v>
      </c>
      <c r="AD426" s="46" t="s">
        <v>27</v>
      </c>
      <c r="AE426" s="46" t="s">
        <v>89</v>
      </c>
      <c r="AF426" s="46" t="s">
        <v>29</v>
      </c>
      <c r="AG426" s="107">
        <v>62409</v>
      </c>
      <c r="AH426" s="70">
        <f>SUM(32768+19490)</f>
        <v>52258</v>
      </c>
      <c r="AI426" s="70">
        <f>SUM(32768+19490)</f>
        <v>52258</v>
      </c>
      <c r="AJ426" s="102">
        <v>62.7</v>
      </c>
      <c r="AK426" s="104">
        <v>125.4</v>
      </c>
      <c r="AL426" s="102">
        <v>62.7</v>
      </c>
      <c r="AM426" s="102"/>
      <c r="AN426" s="53">
        <f t="shared" si="210"/>
        <v>125.4</v>
      </c>
      <c r="AO426" s="53">
        <v>37.299999999999997</v>
      </c>
      <c r="AP426" s="102">
        <f t="shared" si="211"/>
        <v>10151</v>
      </c>
      <c r="AQ426" s="102">
        <f t="shared" si="212"/>
        <v>16.265282250957394</v>
      </c>
      <c r="AR426" s="50"/>
      <c r="AS426" s="50"/>
      <c r="AT426" s="102"/>
      <c r="AU426" s="102"/>
      <c r="AV426" s="50"/>
      <c r="AW426" s="50"/>
      <c r="AX426" s="50"/>
      <c r="AY426" s="50"/>
      <c r="AZ426" s="102"/>
      <c r="BA426" s="102"/>
      <c r="BB426" s="102"/>
      <c r="BC426" s="102"/>
      <c r="BD426" s="50"/>
      <c r="BE426" s="50"/>
      <c r="BF426" s="50"/>
      <c r="BG426" s="50"/>
      <c r="BH426" s="102"/>
      <c r="BI426" s="102"/>
      <c r="BJ426" s="50"/>
      <c r="BK426" s="50"/>
      <c r="BL426" s="50"/>
      <c r="BM426" s="50"/>
      <c r="BN426" s="102"/>
      <c r="BO426" s="50"/>
      <c r="BP426" s="50"/>
      <c r="BQ426" s="50"/>
      <c r="BR426" s="102"/>
      <c r="BS426" s="54" t="s">
        <v>23</v>
      </c>
      <c r="BT426" s="45" t="str">
        <f t="shared" si="202"/>
        <v>Yes</v>
      </c>
      <c r="BU426" s="45" t="str">
        <f t="shared" si="203"/>
        <v>No</v>
      </c>
      <c r="BV426" s="45" t="str">
        <f t="shared" si="204"/>
        <v>No</v>
      </c>
      <c r="BW426" s="55">
        <f t="shared" ref="BW426:BW433" si="218">(40372/(40372+20015))*100</f>
        <v>66.855449020484542</v>
      </c>
      <c r="BX426" s="55"/>
      <c r="BY426" s="55">
        <v>63.220449020484537</v>
      </c>
      <c r="BZ426" s="55"/>
      <c r="CA426" s="45">
        <v>2008</v>
      </c>
      <c r="CB426" s="55">
        <f t="shared" si="214"/>
        <v>43.220577288892564</v>
      </c>
      <c r="CC426" s="46" t="s">
        <v>355</v>
      </c>
      <c r="CD426" s="46" t="s">
        <v>179</v>
      </c>
      <c r="CE426" s="46" t="s">
        <v>179</v>
      </c>
      <c r="CF426" s="46">
        <v>1</v>
      </c>
      <c r="CG426" s="46" t="str">
        <f t="shared" si="215"/>
        <v>No</v>
      </c>
      <c r="CH426" s="46" t="s">
        <v>35</v>
      </c>
      <c r="CI426" s="56">
        <v>0</v>
      </c>
      <c r="CJ426" s="46">
        <v>20</v>
      </c>
      <c r="CK426" s="46" t="s">
        <v>23</v>
      </c>
      <c r="CL426" s="49" t="s">
        <v>29</v>
      </c>
      <c r="CM426" s="50">
        <v>0</v>
      </c>
      <c r="CN426" s="50"/>
      <c r="CO426" s="50"/>
      <c r="CP426" s="46" t="s">
        <v>35</v>
      </c>
      <c r="CQ426" s="46" t="s">
        <v>24</v>
      </c>
      <c r="CR426" s="46">
        <v>7</v>
      </c>
      <c r="CS426" s="46" t="s">
        <v>854</v>
      </c>
      <c r="CT426" s="46" t="s">
        <v>53</v>
      </c>
      <c r="CU426" s="46" t="s">
        <v>29</v>
      </c>
      <c r="CV426" s="46" t="s">
        <v>23</v>
      </c>
      <c r="CW426" s="46" t="s">
        <v>23</v>
      </c>
      <c r="CX426" s="49" t="s">
        <v>560</v>
      </c>
      <c r="CY426" s="49" t="s">
        <v>59</v>
      </c>
      <c r="CZ426" s="49">
        <v>0</v>
      </c>
      <c r="DA426" s="49">
        <v>0</v>
      </c>
      <c r="DB426" s="64">
        <v>120910</v>
      </c>
      <c r="DC426" s="58">
        <v>22.78</v>
      </c>
      <c r="DD426" s="58">
        <v>2.71</v>
      </c>
      <c r="DE426" s="58">
        <v>56.26</v>
      </c>
      <c r="DF426" s="58">
        <v>16.7</v>
      </c>
      <c r="DG426" s="58">
        <v>1.5499999999999958</v>
      </c>
      <c r="DH426" s="58">
        <v>77.22</v>
      </c>
      <c r="DI426" s="45" t="s">
        <v>35</v>
      </c>
      <c r="DJ426" s="59" t="str">
        <f t="shared" si="216"/>
        <v>Latino</v>
      </c>
      <c r="DK426" s="65">
        <v>20687</v>
      </c>
      <c r="DL426" s="58">
        <v>77.94</v>
      </c>
      <c r="DM426" s="58">
        <v>3.01</v>
      </c>
      <c r="DN426" s="58">
        <v>5.5100000000000007</v>
      </c>
      <c r="DO426" s="58">
        <v>80.459999999999994</v>
      </c>
      <c r="DP426" s="66">
        <v>47.3</v>
      </c>
      <c r="DQ426" s="67">
        <v>59588.95</v>
      </c>
      <c r="DR426" s="53">
        <v>17.899999999999999</v>
      </c>
      <c r="DS426" s="58">
        <v>66.8</v>
      </c>
      <c r="DT426" s="53">
        <v>49.2</v>
      </c>
      <c r="DU426" s="55">
        <v>4.3</v>
      </c>
      <c r="DV426" s="50">
        <v>28.4</v>
      </c>
      <c r="DW426" s="53">
        <v>51.4</v>
      </c>
      <c r="DX426" s="53">
        <v>91.79</v>
      </c>
      <c r="DY426" s="53">
        <v>44.747700000000002</v>
      </c>
      <c r="DZ426" s="63"/>
    </row>
    <row r="427" spans="1:130" s="5" customFormat="1" ht="14.25" hidden="1" customHeight="1">
      <c r="A427" s="45">
        <v>1389</v>
      </c>
      <c r="B427" s="46" t="s">
        <v>357</v>
      </c>
      <c r="C427" s="47">
        <v>2008</v>
      </c>
      <c r="D427" s="47" t="s">
        <v>371</v>
      </c>
      <c r="E427" s="46" t="s">
        <v>372</v>
      </c>
      <c r="F427" s="46">
        <v>4</v>
      </c>
      <c r="G427" s="48">
        <v>15000</v>
      </c>
      <c r="H427" s="46" t="s">
        <v>332</v>
      </c>
      <c r="I427" s="46">
        <v>1</v>
      </c>
      <c r="J427" s="46">
        <v>4</v>
      </c>
      <c r="K427" s="49" t="s">
        <v>377</v>
      </c>
      <c r="L427" s="49" t="s">
        <v>30</v>
      </c>
      <c r="M427" s="49" t="s">
        <v>29</v>
      </c>
      <c r="N427" s="49" t="s">
        <v>513</v>
      </c>
      <c r="O427" s="49"/>
      <c r="P427" s="49" t="s">
        <v>31</v>
      </c>
      <c r="Q427" s="49" t="s">
        <v>29</v>
      </c>
      <c r="R427" s="49">
        <v>1</v>
      </c>
      <c r="S427" s="50">
        <f t="shared" si="206"/>
        <v>25</v>
      </c>
      <c r="T427" s="49">
        <v>2</v>
      </c>
      <c r="U427" s="50">
        <f t="shared" si="207"/>
        <v>50</v>
      </c>
      <c r="V427" s="49" t="s">
        <v>794</v>
      </c>
      <c r="W427" s="49">
        <v>1</v>
      </c>
      <c r="X427" s="50">
        <f t="shared" si="208"/>
        <v>25</v>
      </c>
      <c r="Y427" s="51" t="str">
        <f t="shared" si="209"/>
        <v>No</v>
      </c>
      <c r="Z427" s="49" t="s">
        <v>29</v>
      </c>
      <c r="AA427" s="49" t="s">
        <v>29</v>
      </c>
      <c r="AB427" s="49" t="s">
        <v>29</v>
      </c>
      <c r="AC427" s="46" t="s">
        <v>26</v>
      </c>
      <c r="AD427" s="46" t="s">
        <v>27</v>
      </c>
      <c r="AE427" s="46" t="s">
        <v>89</v>
      </c>
      <c r="AF427" s="46" t="s">
        <v>29</v>
      </c>
      <c r="AG427" s="107">
        <v>62409</v>
      </c>
      <c r="AH427" s="70">
        <f>SUM(26258+10231+9344+6773)</f>
        <v>52606</v>
      </c>
      <c r="AI427" s="70">
        <f>SUM(26258+10231+9344+6773)</f>
        <v>52606</v>
      </c>
      <c r="AJ427" s="102">
        <v>49.9</v>
      </c>
      <c r="AK427" s="104">
        <v>99.8</v>
      </c>
      <c r="AL427" s="102">
        <v>49.9</v>
      </c>
      <c r="AM427" s="102"/>
      <c r="AN427" s="53">
        <f t="shared" si="210"/>
        <v>99.8</v>
      </c>
      <c r="AO427" s="53">
        <v>19.399999999999999</v>
      </c>
      <c r="AP427" s="102">
        <f t="shared" si="211"/>
        <v>9803</v>
      </c>
      <c r="AQ427" s="102">
        <f t="shared" si="212"/>
        <v>15.70767036805589</v>
      </c>
      <c r="AR427" s="50"/>
      <c r="AS427" s="50"/>
      <c r="AT427" s="102"/>
      <c r="AU427" s="102"/>
      <c r="AV427" s="50"/>
      <c r="AW427" s="50"/>
      <c r="AX427" s="50"/>
      <c r="AY427" s="50"/>
      <c r="AZ427" s="102"/>
      <c r="BA427" s="102"/>
      <c r="BB427" s="102"/>
      <c r="BC427" s="102"/>
      <c r="BD427" s="50"/>
      <c r="BE427" s="50"/>
      <c r="BF427" s="50"/>
      <c r="BG427" s="50"/>
      <c r="BH427" s="102"/>
      <c r="BI427" s="102"/>
      <c r="BJ427" s="50"/>
      <c r="BK427" s="50"/>
      <c r="BL427" s="50"/>
      <c r="BM427" s="50"/>
      <c r="BN427" s="102"/>
      <c r="BO427" s="50"/>
      <c r="BP427" s="50"/>
      <c r="BQ427" s="50"/>
      <c r="BR427" s="102"/>
      <c r="BS427" s="54" t="s">
        <v>23</v>
      </c>
      <c r="BT427" s="45" t="str">
        <f t="shared" si="202"/>
        <v>No</v>
      </c>
      <c r="BU427" s="45" t="str">
        <f t="shared" si="203"/>
        <v>No</v>
      </c>
      <c r="BV427" s="45" t="str">
        <f t="shared" si="204"/>
        <v>No</v>
      </c>
      <c r="BW427" s="55">
        <f t="shared" si="218"/>
        <v>66.855449020484542</v>
      </c>
      <c r="BX427" s="55"/>
      <c r="BY427" s="55">
        <v>63.220449020484537</v>
      </c>
      <c r="BZ427" s="55"/>
      <c r="CA427" s="45">
        <v>2008</v>
      </c>
      <c r="CB427" s="55">
        <f t="shared" si="214"/>
        <v>43.508394673724261</v>
      </c>
      <c r="CC427" s="46" t="s">
        <v>355</v>
      </c>
      <c r="CD427" s="46" t="s">
        <v>179</v>
      </c>
      <c r="CE427" s="46" t="s">
        <v>179</v>
      </c>
      <c r="CF427" s="46">
        <v>1</v>
      </c>
      <c r="CG427" s="46" t="str">
        <f t="shared" si="215"/>
        <v>No</v>
      </c>
      <c r="CH427" s="46" t="s">
        <v>35</v>
      </c>
      <c r="CI427" s="56">
        <v>0</v>
      </c>
      <c r="CJ427" s="46">
        <v>20</v>
      </c>
      <c r="CK427" s="46" t="s">
        <v>23</v>
      </c>
      <c r="CL427" s="49" t="s">
        <v>29</v>
      </c>
      <c r="CM427" s="50">
        <v>0</v>
      </c>
      <c r="CN427" s="50"/>
      <c r="CO427" s="50"/>
      <c r="CP427" s="46" t="s">
        <v>35</v>
      </c>
      <c r="CQ427" s="46" t="s">
        <v>24</v>
      </c>
      <c r="CR427" s="46">
        <v>7</v>
      </c>
      <c r="CS427" s="46" t="s">
        <v>854</v>
      </c>
      <c r="CT427" s="46" t="s">
        <v>53</v>
      </c>
      <c r="CU427" s="46" t="s">
        <v>29</v>
      </c>
      <c r="CV427" s="46" t="s">
        <v>23</v>
      </c>
      <c r="CW427" s="46" t="s">
        <v>23</v>
      </c>
      <c r="CX427" s="49" t="s">
        <v>560</v>
      </c>
      <c r="CY427" s="49" t="s">
        <v>59</v>
      </c>
      <c r="CZ427" s="49">
        <v>0</v>
      </c>
      <c r="DA427" s="49">
        <v>0</v>
      </c>
      <c r="DB427" s="64">
        <v>120910</v>
      </c>
      <c r="DC427" s="58">
        <v>22.78</v>
      </c>
      <c r="DD427" s="58">
        <v>2.71</v>
      </c>
      <c r="DE427" s="58">
        <v>56.26</v>
      </c>
      <c r="DF427" s="58">
        <v>16.7</v>
      </c>
      <c r="DG427" s="58">
        <v>1.5499999999999958</v>
      </c>
      <c r="DH427" s="58">
        <v>77.22</v>
      </c>
      <c r="DI427" s="45" t="s">
        <v>35</v>
      </c>
      <c r="DJ427" s="59" t="str">
        <f t="shared" si="216"/>
        <v>Latino</v>
      </c>
      <c r="DK427" s="65">
        <v>33936</v>
      </c>
      <c r="DL427" s="58">
        <v>16.989999999999998</v>
      </c>
      <c r="DM427" s="58">
        <v>63.019999999999996</v>
      </c>
      <c r="DN427" s="58">
        <v>10.08</v>
      </c>
      <c r="DO427" s="58">
        <v>83.01</v>
      </c>
      <c r="DP427" s="66">
        <v>47.3</v>
      </c>
      <c r="DQ427" s="67">
        <v>59588.95</v>
      </c>
      <c r="DR427" s="53">
        <v>17.899999999999999</v>
      </c>
      <c r="DS427" s="58">
        <v>66.8</v>
      </c>
      <c r="DT427" s="53">
        <v>49.2</v>
      </c>
      <c r="DU427" s="55">
        <v>4.3</v>
      </c>
      <c r="DV427" s="50">
        <v>28.4</v>
      </c>
      <c r="DW427" s="53">
        <v>51.4</v>
      </c>
      <c r="DX427" s="53">
        <v>91.79</v>
      </c>
      <c r="DY427" s="53">
        <v>44.747700000000002</v>
      </c>
      <c r="DZ427" s="63"/>
    </row>
    <row r="428" spans="1:130" s="5" customFormat="1" ht="14.25" hidden="1" customHeight="1">
      <c r="A428" s="45">
        <v>1390</v>
      </c>
      <c r="B428" s="46" t="s">
        <v>357</v>
      </c>
      <c r="C428" s="47">
        <v>2008</v>
      </c>
      <c r="D428" s="47" t="s">
        <v>374</v>
      </c>
      <c r="E428" s="46" t="s">
        <v>375</v>
      </c>
      <c r="F428" s="46">
        <v>4</v>
      </c>
      <c r="G428" s="48">
        <v>15000</v>
      </c>
      <c r="H428" s="46" t="s">
        <v>332</v>
      </c>
      <c r="I428" s="46">
        <v>1</v>
      </c>
      <c r="J428" s="46">
        <v>2</v>
      </c>
      <c r="K428" s="49" t="s">
        <v>378</v>
      </c>
      <c r="L428" s="49" t="s">
        <v>40</v>
      </c>
      <c r="M428" s="49" t="s">
        <v>35</v>
      </c>
      <c r="N428" s="49" t="s">
        <v>513</v>
      </c>
      <c r="O428" s="49"/>
      <c r="P428" s="49" t="s">
        <v>857</v>
      </c>
      <c r="Q428" s="49" t="s">
        <v>35</v>
      </c>
      <c r="R428" s="49">
        <v>2</v>
      </c>
      <c r="S428" s="50">
        <f t="shared" si="206"/>
        <v>100</v>
      </c>
      <c r="T428" s="49">
        <v>1</v>
      </c>
      <c r="U428" s="50">
        <f t="shared" si="207"/>
        <v>50</v>
      </c>
      <c r="V428" s="49" t="s">
        <v>789</v>
      </c>
      <c r="W428" s="49">
        <v>1</v>
      </c>
      <c r="X428" s="50">
        <f t="shared" si="208"/>
        <v>50</v>
      </c>
      <c r="Y428" s="51" t="str">
        <f t="shared" si="209"/>
        <v>Yes</v>
      </c>
      <c r="Z428" s="49" t="s">
        <v>29</v>
      </c>
      <c r="AA428" s="49" t="s">
        <v>35</v>
      </c>
      <c r="AB428" s="45" t="s">
        <v>35</v>
      </c>
      <c r="AC428" s="46" t="s">
        <v>26</v>
      </c>
      <c r="AD428" s="46" t="s">
        <v>27</v>
      </c>
      <c r="AE428" s="46" t="s">
        <v>89</v>
      </c>
      <c r="AF428" s="46" t="s">
        <v>29</v>
      </c>
      <c r="AG428" s="107">
        <v>62409</v>
      </c>
      <c r="AH428" s="70">
        <f>SUM(40261+10930)</f>
        <v>51191</v>
      </c>
      <c r="AI428" s="70">
        <f>SUM(40261+10930)</f>
        <v>51191</v>
      </c>
      <c r="AJ428" s="102">
        <v>78.599999999999994</v>
      </c>
      <c r="AK428" s="104">
        <v>157.19999999999999</v>
      </c>
      <c r="AL428" s="102">
        <v>78.599999999999994</v>
      </c>
      <c r="AM428" s="102"/>
      <c r="AN428" s="53">
        <f t="shared" si="210"/>
        <v>157.19999999999999</v>
      </c>
      <c r="AO428" s="53">
        <v>21.4</v>
      </c>
      <c r="AP428" s="102">
        <f t="shared" si="211"/>
        <v>11218</v>
      </c>
      <c r="AQ428" s="102">
        <f t="shared" si="212"/>
        <v>17.974971558589306</v>
      </c>
      <c r="AR428" s="50"/>
      <c r="AS428" s="50"/>
      <c r="AT428" s="102"/>
      <c r="AU428" s="102"/>
      <c r="AV428" s="50"/>
      <c r="AW428" s="50"/>
      <c r="AX428" s="50"/>
      <c r="AY428" s="50"/>
      <c r="AZ428" s="102"/>
      <c r="BA428" s="102"/>
      <c r="BB428" s="102"/>
      <c r="BC428" s="102"/>
      <c r="BD428" s="50"/>
      <c r="BE428" s="50"/>
      <c r="BF428" s="50"/>
      <c r="BG428" s="50"/>
      <c r="BH428" s="102"/>
      <c r="BI428" s="102"/>
      <c r="BJ428" s="50"/>
      <c r="BK428" s="50"/>
      <c r="BL428" s="50"/>
      <c r="BM428" s="50"/>
      <c r="BN428" s="102"/>
      <c r="BO428" s="50"/>
      <c r="BP428" s="50"/>
      <c r="BQ428" s="50"/>
      <c r="BR428" s="102"/>
      <c r="BS428" s="54" t="s">
        <v>23</v>
      </c>
      <c r="BT428" s="45" t="str">
        <f t="shared" si="202"/>
        <v>No</v>
      </c>
      <c r="BU428" s="45" t="str">
        <f t="shared" si="203"/>
        <v>No</v>
      </c>
      <c r="BV428" s="45" t="str">
        <f t="shared" si="204"/>
        <v>No</v>
      </c>
      <c r="BW428" s="55">
        <f t="shared" si="218"/>
        <v>66.855449020484542</v>
      </c>
      <c r="BX428" s="55"/>
      <c r="BY428" s="55">
        <v>63.220449020484537</v>
      </c>
      <c r="BZ428" s="55"/>
      <c r="CA428" s="45">
        <v>2008</v>
      </c>
      <c r="CB428" s="55">
        <f t="shared" si="214"/>
        <v>42.338102721032172</v>
      </c>
      <c r="CC428" s="46" t="s">
        <v>355</v>
      </c>
      <c r="CD428" s="46" t="s">
        <v>179</v>
      </c>
      <c r="CE428" s="46" t="s">
        <v>179</v>
      </c>
      <c r="CF428" s="46">
        <v>1</v>
      </c>
      <c r="CG428" s="46" t="str">
        <f t="shared" si="215"/>
        <v>No</v>
      </c>
      <c r="CH428" s="46" t="s">
        <v>35</v>
      </c>
      <c r="CI428" s="56">
        <v>0</v>
      </c>
      <c r="CJ428" s="46">
        <v>20</v>
      </c>
      <c r="CK428" s="46" t="s">
        <v>23</v>
      </c>
      <c r="CL428" s="49" t="s">
        <v>29</v>
      </c>
      <c r="CM428" s="50">
        <v>0</v>
      </c>
      <c r="CN428" s="50"/>
      <c r="CO428" s="50"/>
      <c r="CP428" s="46" t="s">
        <v>35</v>
      </c>
      <c r="CQ428" s="46" t="s">
        <v>24</v>
      </c>
      <c r="CR428" s="46">
        <v>7</v>
      </c>
      <c r="CS428" s="46" t="s">
        <v>854</v>
      </c>
      <c r="CT428" s="46" t="s">
        <v>53</v>
      </c>
      <c r="CU428" s="46" t="s">
        <v>29</v>
      </c>
      <c r="CV428" s="46" t="s">
        <v>23</v>
      </c>
      <c r="CW428" s="46" t="s">
        <v>23</v>
      </c>
      <c r="CX428" s="49" t="s">
        <v>560</v>
      </c>
      <c r="CY428" s="49" t="s">
        <v>59</v>
      </c>
      <c r="CZ428" s="49">
        <v>0</v>
      </c>
      <c r="DA428" s="49">
        <v>0</v>
      </c>
      <c r="DB428" s="64">
        <v>120910</v>
      </c>
      <c r="DC428" s="58">
        <v>22.78</v>
      </c>
      <c r="DD428" s="58">
        <v>2.71</v>
      </c>
      <c r="DE428" s="58">
        <v>56.26</v>
      </c>
      <c r="DF428" s="58">
        <v>16.7</v>
      </c>
      <c r="DG428" s="58">
        <v>1.5499999999999958</v>
      </c>
      <c r="DH428" s="58">
        <v>77.22</v>
      </c>
      <c r="DI428" s="45" t="s">
        <v>35</v>
      </c>
      <c r="DJ428" s="59" t="str">
        <f t="shared" si="216"/>
        <v>Latino</v>
      </c>
      <c r="DK428" s="65">
        <v>17869</v>
      </c>
      <c r="DL428" s="58">
        <v>81.03</v>
      </c>
      <c r="DM428" s="58">
        <v>1.6199999999999999</v>
      </c>
      <c r="DN428" s="58">
        <v>4.12</v>
      </c>
      <c r="DO428" s="58">
        <v>84.92</v>
      </c>
      <c r="DP428" s="66">
        <v>47.3</v>
      </c>
      <c r="DQ428" s="67">
        <v>59588.95</v>
      </c>
      <c r="DR428" s="53">
        <v>17.899999999999999</v>
      </c>
      <c r="DS428" s="58">
        <v>66.8</v>
      </c>
      <c r="DT428" s="53">
        <v>49.2</v>
      </c>
      <c r="DU428" s="55">
        <v>4.3</v>
      </c>
      <c r="DV428" s="50">
        <v>28.4</v>
      </c>
      <c r="DW428" s="53">
        <v>51.4</v>
      </c>
      <c r="DX428" s="53">
        <v>91.79</v>
      </c>
      <c r="DY428" s="53">
        <v>44.747700000000002</v>
      </c>
      <c r="DZ428" s="63"/>
    </row>
    <row r="429" spans="1:130" s="5" customFormat="1" ht="14.25" hidden="1" customHeight="1">
      <c r="A429" s="45">
        <v>1387</v>
      </c>
      <c r="B429" s="46" t="s">
        <v>357</v>
      </c>
      <c r="C429" s="47">
        <v>2008</v>
      </c>
      <c r="D429" s="47" t="s">
        <v>38</v>
      </c>
      <c r="E429" s="46" t="s">
        <v>22</v>
      </c>
      <c r="F429" s="46">
        <v>2</v>
      </c>
      <c r="G429" s="48">
        <v>17000</v>
      </c>
      <c r="H429" s="46" t="s">
        <v>332</v>
      </c>
      <c r="I429" s="46">
        <v>1</v>
      </c>
      <c r="J429" s="46">
        <v>4</v>
      </c>
      <c r="K429" s="49" t="s">
        <v>358</v>
      </c>
      <c r="L429" s="49" t="s">
        <v>30</v>
      </c>
      <c r="M429" s="49" t="s">
        <v>29</v>
      </c>
      <c r="N429" s="49" t="s">
        <v>513</v>
      </c>
      <c r="O429" s="49"/>
      <c r="P429" s="49" t="s">
        <v>857</v>
      </c>
      <c r="Q429" s="49" t="s">
        <v>35</v>
      </c>
      <c r="R429" s="49">
        <v>1</v>
      </c>
      <c r="S429" s="50">
        <f t="shared" si="206"/>
        <v>25</v>
      </c>
      <c r="T429" s="49">
        <v>2</v>
      </c>
      <c r="U429" s="50">
        <f t="shared" si="207"/>
        <v>50</v>
      </c>
      <c r="V429" s="49" t="s">
        <v>794</v>
      </c>
      <c r="W429" s="49">
        <v>1</v>
      </c>
      <c r="X429" s="50">
        <f t="shared" si="208"/>
        <v>25</v>
      </c>
      <c r="Y429" s="51" t="str">
        <f t="shared" si="209"/>
        <v>No</v>
      </c>
      <c r="Z429" s="49" t="s">
        <v>29</v>
      </c>
      <c r="AA429" s="49" t="s">
        <v>35</v>
      </c>
      <c r="AB429" s="49" t="s">
        <v>29</v>
      </c>
      <c r="AC429" s="46" t="s">
        <v>26</v>
      </c>
      <c r="AD429" s="46" t="s">
        <v>27</v>
      </c>
      <c r="AE429" s="46" t="s">
        <v>89</v>
      </c>
      <c r="AF429" s="46" t="s">
        <v>29</v>
      </c>
      <c r="AG429" s="107">
        <v>62409</v>
      </c>
      <c r="AH429" s="70">
        <f>SUM(30352+16199+7610+1069)</f>
        <v>55230</v>
      </c>
      <c r="AI429" s="70">
        <f>SUM(30352+16199+7610+1069)</f>
        <v>55230</v>
      </c>
      <c r="AJ429" s="102">
        <v>55</v>
      </c>
      <c r="AK429" s="104">
        <v>110</v>
      </c>
      <c r="AL429" s="102">
        <v>55</v>
      </c>
      <c r="AM429" s="102"/>
      <c r="AN429" s="53">
        <f t="shared" si="210"/>
        <v>110</v>
      </c>
      <c r="AO429" s="53">
        <v>29.3</v>
      </c>
      <c r="AP429" s="102">
        <f t="shared" si="211"/>
        <v>7179</v>
      </c>
      <c r="AQ429" s="102">
        <f t="shared" si="212"/>
        <v>11.503148584338797</v>
      </c>
      <c r="AR429" s="50"/>
      <c r="AS429" s="50"/>
      <c r="AT429" s="102"/>
      <c r="AU429" s="102"/>
      <c r="AV429" s="102"/>
      <c r="AW429" s="102"/>
      <c r="AX429" s="50"/>
      <c r="AY429" s="50"/>
      <c r="AZ429" s="102"/>
      <c r="BA429" s="102"/>
      <c r="BB429" s="102"/>
      <c r="BC429" s="102"/>
      <c r="BD429" s="50"/>
      <c r="BE429" s="50"/>
      <c r="BF429" s="50"/>
      <c r="BG429" s="50"/>
      <c r="BH429" s="102"/>
      <c r="BI429" s="102"/>
      <c r="BJ429" s="102"/>
      <c r="BK429" s="102"/>
      <c r="BL429" s="102"/>
      <c r="BM429" s="102"/>
      <c r="BN429" s="102"/>
      <c r="BO429" s="50"/>
      <c r="BP429" s="50"/>
      <c r="BQ429" s="50"/>
      <c r="BR429" s="102"/>
      <c r="BS429" s="54" t="s">
        <v>23</v>
      </c>
      <c r="BT429" s="45" t="str">
        <f t="shared" ref="BT429:BT460" si="219">IF(J429=I429, "No", IF(AJ429/AO429&lt;2, "Yes", "No"))</f>
        <v>Yes</v>
      </c>
      <c r="BU429" s="45" t="str">
        <f t="shared" ref="BU429:BU460" si="220">IF(J429=I429, "No", IF(AJ429/AO429&lt;1.5, "Yes", "No"))</f>
        <v>No</v>
      </c>
      <c r="BV429" s="45" t="str">
        <f t="shared" ref="BV429:BV460" si="221">IF(J429=I429, "No", IF((ABS(AJ429-AO429))&lt;(5/I429), "Yes", "No"))</f>
        <v>No</v>
      </c>
      <c r="BW429" s="55">
        <f t="shared" si="218"/>
        <v>66.855449020484542</v>
      </c>
      <c r="BX429" s="55">
        <f>(40372/(40372+20015))*100</f>
        <v>66.855449020484542</v>
      </c>
      <c r="BY429" s="55">
        <v>63.220449020484537</v>
      </c>
      <c r="BZ429" s="55">
        <f>BX429-(0.0727*100/2)</f>
        <v>63.220449020484544</v>
      </c>
      <c r="CA429" s="45">
        <v>2008</v>
      </c>
      <c r="CB429" s="55">
        <f t="shared" si="214"/>
        <v>45.678603920271279</v>
      </c>
      <c r="CC429" s="46" t="s">
        <v>39</v>
      </c>
      <c r="CD429" s="46" t="s">
        <v>179</v>
      </c>
      <c r="CE429" s="46" t="s">
        <v>179</v>
      </c>
      <c r="CF429" s="46">
        <v>1</v>
      </c>
      <c r="CG429" s="46" t="str">
        <f t="shared" si="215"/>
        <v>No</v>
      </c>
      <c r="CH429" s="46" t="s">
        <v>35</v>
      </c>
      <c r="CI429" s="56">
        <v>0</v>
      </c>
      <c r="CJ429" s="46">
        <v>20</v>
      </c>
      <c r="CK429" s="46" t="s">
        <v>23</v>
      </c>
      <c r="CL429" s="49" t="s">
        <v>29</v>
      </c>
      <c r="CM429" s="50">
        <v>0</v>
      </c>
      <c r="CN429" s="50"/>
      <c r="CO429" s="50"/>
      <c r="CP429" s="46" t="s">
        <v>23</v>
      </c>
      <c r="CQ429" s="46" t="s">
        <v>23</v>
      </c>
      <c r="CR429" s="46">
        <v>7</v>
      </c>
      <c r="CS429" s="46" t="s">
        <v>854</v>
      </c>
      <c r="CT429" s="46" t="s">
        <v>53</v>
      </c>
      <c r="CU429" s="46" t="s">
        <v>29</v>
      </c>
      <c r="CV429" s="46" t="s">
        <v>23</v>
      </c>
      <c r="CW429" s="46" t="s">
        <v>23</v>
      </c>
      <c r="CX429" s="49" t="s">
        <v>560</v>
      </c>
      <c r="CY429" s="49" t="s">
        <v>59</v>
      </c>
      <c r="CZ429" s="49">
        <v>0</v>
      </c>
      <c r="DA429" s="49">
        <v>0</v>
      </c>
      <c r="DB429" s="64">
        <v>120910</v>
      </c>
      <c r="DC429" s="58">
        <v>22.78</v>
      </c>
      <c r="DD429" s="58">
        <v>2.71</v>
      </c>
      <c r="DE429" s="58">
        <v>56.26</v>
      </c>
      <c r="DF429" s="58">
        <v>16.7</v>
      </c>
      <c r="DG429" s="58">
        <v>1.5499999999999958</v>
      </c>
      <c r="DH429" s="58">
        <v>77.22</v>
      </c>
      <c r="DI429" s="45" t="s">
        <v>35</v>
      </c>
      <c r="DJ429" s="59" t="str">
        <f t="shared" si="216"/>
        <v>Latino</v>
      </c>
      <c r="DK429" s="65">
        <v>120910</v>
      </c>
      <c r="DL429" s="58">
        <v>22.78</v>
      </c>
      <c r="DM429" s="58">
        <v>2.71</v>
      </c>
      <c r="DN429" s="58">
        <v>56.26</v>
      </c>
      <c r="DO429" s="58">
        <v>77.22</v>
      </c>
      <c r="DP429" s="66">
        <v>47.3</v>
      </c>
      <c r="DQ429" s="67">
        <v>59588.95</v>
      </c>
      <c r="DR429" s="53">
        <v>17.899999999999999</v>
      </c>
      <c r="DS429" s="58">
        <v>66.8</v>
      </c>
      <c r="DT429" s="53">
        <v>49.2</v>
      </c>
      <c r="DU429" s="55">
        <v>4.3</v>
      </c>
      <c r="DV429" s="50">
        <v>28.4</v>
      </c>
      <c r="DW429" s="53">
        <v>51.4</v>
      </c>
      <c r="DX429" s="53">
        <v>91.79</v>
      </c>
      <c r="DY429" s="53">
        <v>44.747700000000002</v>
      </c>
      <c r="DZ429" s="63"/>
    </row>
    <row r="430" spans="1:130" s="5" customFormat="1" ht="14.25" hidden="1" customHeight="1">
      <c r="A430" s="45">
        <v>1384</v>
      </c>
      <c r="B430" s="46" t="s">
        <v>357</v>
      </c>
      <c r="C430" s="47">
        <v>2010</v>
      </c>
      <c r="D430" s="47" t="s">
        <v>359</v>
      </c>
      <c r="E430" s="46" t="s">
        <v>360</v>
      </c>
      <c r="F430" s="46">
        <v>4</v>
      </c>
      <c r="G430" s="48">
        <v>15000</v>
      </c>
      <c r="H430" s="46" t="s">
        <v>332</v>
      </c>
      <c r="I430" s="46">
        <v>1</v>
      </c>
      <c r="J430" s="46">
        <v>1</v>
      </c>
      <c r="K430" s="49" t="s">
        <v>361</v>
      </c>
      <c r="L430" s="49" t="s">
        <v>40</v>
      </c>
      <c r="M430" s="49" t="s">
        <v>35</v>
      </c>
      <c r="N430" s="49" t="s">
        <v>513</v>
      </c>
      <c r="O430" s="49"/>
      <c r="P430" s="49" t="s">
        <v>857</v>
      </c>
      <c r="Q430" s="49" t="s">
        <v>35</v>
      </c>
      <c r="R430" s="49">
        <v>1</v>
      </c>
      <c r="S430" s="50">
        <f t="shared" si="206"/>
        <v>100</v>
      </c>
      <c r="T430" s="49">
        <v>1</v>
      </c>
      <c r="U430" s="50">
        <f t="shared" si="207"/>
        <v>100</v>
      </c>
      <c r="V430" s="49" t="s">
        <v>789</v>
      </c>
      <c r="W430" s="49">
        <v>1</v>
      </c>
      <c r="X430" s="50">
        <f t="shared" si="208"/>
        <v>100</v>
      </c>
      <c r="Y430" s="51" t="str">
        <f t="shared" si="209"/>
        <v>Yes</v>
      </c>
      <c r="Z430" s="49" t="s">
        <v>29</v>
      </c>
      <c r="AA430" s="49" t="s">
        <v>35</v>
      </c>
      <c r="AB430" s="45" t="s">
        <v>35</v>
      </c>
      <c r="AC430" s="46" t="s">
        <v>26</v>
      </c>
      <c r="AD430" s="46" t="s">
        <v>27</v>
      </c>
      <c r="AE430" s="46" t="s">
        <v>73</v>
      </c>
      <c r="AF430" s="46" t="s">
        <v>29</v>
      </c>
      <c r="AG430" s="107">
        <v>47944</v>
      </c>
      <c r="AH430" s="52">
        <v>34651</v>
      </c>
      <c r="AI430" s="52">
        <v>34651</v>
      </c>
      <c r="AJ430" s="102">
        <v>100</v>
      </c>
      <c r="AK430" s="104">
        <v>200</v>
      </c>
      <c r="AL430" s="102">
        <v>100</v>
      </c>
      <c r="AM430" s="102"/>
      <c r="AN430" s="53">
        <f t="shared" si="210"/>
        <v>200</v>
      </c>
      <c r="AO430" s="53" t="s">
        <v>23</v>
      </c>
      <c r="AP430" s="102">
        <f t="shared" si="211"/>
        <v>13293</v>
      </c>
      <c r="AQ430" s="102">
        <f t="shared" si="212"/>
        <v>27.726097113298849</v>
      </c>
      <c r="AR430" s="102"/>
      <c r="AS430" s="102"/>
      <c r="AT430" s="102"/>
      <c r="AU430" s="102"/>
      <c r="AV430" s="50"/>
      <c r="AW430" s="50"/>
      <c r="AX430" s="102"/>
      <c r="AY430" s="102"/>
      <c r="AZ430" s="102"/>
      <c r="BA430" s="102"/>
      <c r="BB430" s="102"/>
      <c r="BC430" s="102"/>
      <c r="BD430" s="102"/>
      <c r="BE430" s="102"/>
      <c r="BF430" s="102"/>
      <c r="BG430" s="102"/>
      <c r="BH430" s="102"/>
      <c r="BI430" s="102"/>
      <c r="BJ430" s="50"/>
      <c r="BK430" s="50"/>
      <c r="BL430" s="50"/>
      <c r="BM430" s="50"/>
      <c r="BN430" s="102"/>
      <c r="BO430" s="102"/>
      <c r="BP430" s="102"/>
      <c r="BQ430" s="102"/>
      <c r="BR430" s="102"/>
      <c r="BS430" s="54" t="s">
        <v>23</v>
      </c>
      <c r="BT430" s="45" t="str">
        <f t="shared" si="219"/>
        <v>No</v>
      </c>
      <c r="BU430" s="45" t="str">
        <f t="shared" si="220"/>
        <v>No</v>
      </c>
      <c r="BV430" s="45" t="str">
        <f t="shared" si="221"/>
        <v>No</v>
      </c>
      <c r="BW430" s="55">
        <f t="shared" si="218"/>
        <v>66.855449020484542</v>
      </c>
      <c r="BX430" s="55"/>
      <c r="BY430" s="55">
        <v>63.220449020484537</v>
      </c>
      <c r="BZ430" s="55"/>
      <c r="CA430" s="45">
        <v>2008</v>
      </c>
      <c r="CB430" s="55">
        <f t="shared" si="214"/>
        <v>27.426784866233973</v>
      </c>
      <c r="CC430" s="46" t="s">
        <v>355</v>
      </c>
      <c r="CD430" s="46" t="s">
        <v>179</v>
      </c>
      <c r="CE430" s="46" t="s">
        <v>179</v>
      </c>
      <c r="CF430" s="46">
        <v>1</v>
      </c>
      <c r="CG430" s="46" t="str">
        <f t="shared" si="215"/>
        <v>No</v>
      </c>
      <c r="CH430" s="46" t="s">
        <v>35</v>
      </c>
      <c r="CI430" s="56">
        <v>0</v>
      </c>
      <c r="CJ430" s="46">
        <v>20</v>
      </c>
      <c r="CK430" s="46" t="s">
        <v>23</v>
      </c>
      <c r="CL430" s="49" t="s">
        <v>29</v>
      </c>
      <c r="CM430" s="50">
        <v>0</v>
      </c>
      <c r="CN430" s="50"/>
      <c r="CO430" s="50"/>
      <c r="CP430" s="46" t="s">
        <v>35</v>
      </c>
      <c r="CQ430" s="46" t="s">
        <v>24</v>
      </c>
      <c r="CR430" s="46">
        <v>7</v>
      </c>
      <c r="CS430" s="46" t="s">
        <v>854</v>
      </c>
      <c r="CT430" s="46" t="s">
        <v>53</v>
      </c>
      <c r="CU430" s="46" t="s">
        <v>29</v>
      </c>
      <c r="CV430" s="46" t="s">
        <v>23</v>
      </c>
      <c r="CW430" s="46" t="s">
        <v>23</v>
      </c>
      <c r="CX430" s="49" t="s">
        <v>560</v>
      </c>
      <c r="CY430" s="49" t="s">
        <v>59</v>
      </c>
      <c r="CZ430" s="49">
        <v>0</v>
      </c>
      <c r="DA430" s="49">
        <v>0</v>
      </c>
      <c r="DB430" s="64">
        <v>126340</v>
      </c>
      <c r="DC430" s="58">
        <v>21.04</v>
      </c>
      <c r="DD430" s="58">
        <v>2.4699999999999998</v>
      </c>
      <c r="DE430" s="58">
        <v>58.930000000000007</v>
      </c>
      <c r="DF430" s="58">
        <v>16.41</v>
      </c>
      <c r="DG430" s="58">
        <v>1.1499999999999955</v>
      </c>
      <c r="DH430" s="58">
        <v>78.959999999999994</v>
      </c>
      <c r="DI430" s="45" t="s">
        <v>35</v>
      </c>
      <c r="DJ430" s="59" t="str">
        <f t="shared" si="216"/>
        <v>Latino</v>
      </c>
      <c r="DK430" s="65">
        <v>15727</v>
      </c>
      <c r="DL430" s="58">
        <v>61.750000000000007</v>
      </c>
      <c r="DM430" s="58">
        <v>6.5</v>
      </c>
      <c r="DN430" s="58">
        <v>5.91</v>
      </c>
      <c r="DO430" s="58">
        <v>81.210000000000008</v>
      </c>
      <c r="DP430" s="66">
        <v>49</v>
      </c>
      <c r="DQ430" s="67">
        <v>56078.82</v>
      </c>
      <c r="DR430" s="53">
        <v>20.7</v>
      </c>
      <c r="DS430" s="58">
        <v>67.599999999999994</v>
      </c>
      <c r="DT430" s="53">
        <v>47.2</v>
      </c>
      <c r="DU430" s="55">
        <v>4.43</v>
      </c>
      <c r="DV430" s="50">
        <v>28.8</v>
      </c>
      <c r="DW430" s="53">
        <v>52.9</v>
      </c>
      <c r="DX430" s="53">
        <v>91.16</v>
      </c>
      <c r="DY430" s="53">
        <v>59.503599999999999</v>
      </c>
      <c r="DZ430" s="63"/>
    </row>
    <row r="431" spans="1:130" s="5" customFormat="1" ht="14.25" hidden="1" customHeight="1">
      <c r="A431" s="45">
        <v>1385</v>
      </c>
      <c r="B431" s="46" t="s">
        <v>357</v>
      </c>
      <c r="C431" s="47">
        <v>2010</v>
      </c>
      <c r="D431" s="47" t="s">
        <v>362</v>
      </c>
      <c r="E431" s="46" t="s">
        <v>363</v>
      </c>
      <c r="F431" s="46">
        <v>4</v>
      </c>
      <c r="G431" s="48">
        <v>15000</v>
      </c>
      <c r="H431" s="46" t="s">
        <v>332</v>
      </c>
      <c r="I431" s="46">
        <v>1</v>
      </c>
      <c r="J431" s="46">
        <v>1</v>
      </c>
      <c r="K431" s="49" t="s">
        <v>364</v>
      </c>
      <c r="L431" s="49" t="s">
        <v>30</v>
      </c>
      <c r="M431" s="49" t="s">
        <v>29</v>
      </c>
      <c r="N431" s="49" t="s">
        <v>513</v>
      </c>
      <c r="O431" s="49"/>
      <c r="P431" s="49" t="s">
        <v>857</v>
      </c>
      <c r="Q431" s="49" t="s">
        <v>35</v>
      </c>
      <c r="R431" s="49">
        <v>0</v>
      </c>
      <c r="S431" s="50">
        <f t="shared" si="206"/>
        <v>0</v>
      </c>
      <c r="T431" s="49">
        <v>1</v>
      </c>
      <c r="U431" s="50">
        <f t="shared" si="207"/>
        <v>100</v>
      </c>
      <c r="V431" s="49" t="s">
        <v>789</v>
      </c>
      <c r="W431" s="49">
        <v>0</v>
      </c>
      <c r="X431" s="50">
        <f t="shared" si="208"/>
        <v>0</v>
      </c>
      <c r="Y431" s="51" t="str">
        <f t="shared" si="209"/>
        <v>No</v>
      </c>
      <c r="Z431" s="49" t="s">
        <v>29</v>
      </c>
      <c r="AA431" s="49" t="s">
        <v>35</v>
      </c>
      <c r="AB431" s="49" t="s">
        <v>29</v>
      </c>
      <c r="AC431" s="46" t="s">
        <v>26</v>
      </c>
      <c r="AD431" s="46" t="s">
        <v>27</v>
      </c>
      <c r="AE431" s="46" t="s">
        <v>73</v>
      </c>
      <c r="AF431" s="46" t="s">
        <v>29</v>
      </c>
      <c r="AG431" s="107">
        <v>47944</v>
      </c>
      <c r="AH431" s="52">
        <v>34785</v>
      </c>
      <c r="AI431" s="52">
        <v>34785</v>
      </c>
      <c r="AJ431" s="102">
        <v>100</v>
      </c>
      <c r="AK431" s="104">
        <v>200</v>
      </c>
      <c r="AL431" s="102">
        <v>100</v>
      </c>
      <c r="AM431" s="102"/>
      <c r="AN431" s="53">
        <f t="shared" si="210"/>
        <v>200</v>
      </c>
      <c r="AO431" s="53" t="s">
        <v>23</v>
      </c>
      <c r="AP431" s="102">
        <f t="shared" si="211"/>
        <v>13159</v>
      </c>
      <c r="AQ431" s="102">
        <f t="shared" si="212"/>
        <v>27.446604371767062</v>
      </c>
      <c r="AR431" s="50"/>
      <c r="AS431" s="102"/>
      <c r="AT431" s="102"/>
      <c r="AU431" s="102"/>
      <c r="AV431" s="102"/>
      <c r="AW431" s="102"/>
      <c r="AX431" s="50"/>
      <c r="AY431" s="50"/>
      <c r="AZ431" s="102"/>
      <c r="BA431" s="102"/>
      <c r="BB431" s="102"/>
      <c r="BC431" s="102"/>
      <c r="BD431" s="50"/>
      <c r="BE431" s="50"/>
      <c r="BF431" s="50"/>
      <c r="BG431" s="50"/>
      <c r="BH431" s="102"/>
      <c r="BI431" s="102"/>
      <c r="BJ431" s="102"/>
      <c r="BK431" s="102"/>
      <c r="BL431" s="102"/>
      <c r="BM431" s="102"/>
      <c r="BN431" s="102"/>
      <c r="BO431" s="50"/>
      <c r="BP431" s="50"/>
      <c r="BQ431" s="50"/>
      <c r="BR431" s="102"/>
      <c r="BS431" s="54" t="s">
        <v>23</v>
      </c>
      <c r="BT431" s="45" t="str">
        <f t="shared" si="219"/>
        <v>No</v>
      </c>
      <c r="BU431" s="45" t="str">
        <f t="shared" si="220"/>
        <v>No</v>
      </c>
      <c r="BV431" s="45" t="str">
        <f t="shared" si="221"/>
        <v>No</v>
      </c>
      <c r="BW431" s="55">
        <f t="shared" si="218"/>
        <v>66.855449020484542</v>
      </c>
      <c r="BX431" s="55"/>
      <c r="BY431" s="55">
        <v>63.220449020484537</v>
      </c>
      <c r="BZ431" s="55"/>
      <c r="CA431" s="45">
        <v>2008</v>
      </c>
      <c r="CB431" s="55">
        <f t="shared" si="214"/>
        <v>27.532847870824757</v>
      </c>
      <c r="CC431" s="46" t="s">
        <v>355</v>
      </c>
      <c r="CD431" s="46" t="s">
        <v>179</v>
      </c>
      <c r="CE431" s="46" t="s">
        <v>179</v>
      </c>
      <c r="CF431" s="46">
        <v>1</v>
      </c>
      <c r="CG431" s="46" t="str">
        <f t="shared" si="215"/>
        <v>No</v>
      </c>
      <c r="CH431" s="46" t="s">
        <v>35</v>
      </c>
      <c r="CI431" s="56">
        <v>0</v>
      </c>
      <c r="CJ431" s="46">
        <v>20</v>
      </c>
      <c r="CK431" s="46" t="s">
        <v>23</v>
      </c>
      <c r="CL431" s="49" t="s">
        <v>29</v>
      </c>
      <c r="CM431" s="50">
        <v>0</v>
      </c>
      <c r="CN431" s="50"/>
      <c r="CO431" s="50"/>
      <c r="CP431" s="46" t="s">
        <v>35</v>
      </c>
      <c r="CQ431" s="46" t="s">
        <v>24</v>
      </c>
      <c r="CR431" s="46">
        <v>7</v>
      </c>
      <c r="CS431" s="46" t="s">
        <v>854</v>
      </c>
      <c r="CT431" s="46" t="s">
        <v>53</v>
      </c>
      <c r="CU431" s="46" t="s">
        <v>29</v>
      </c>
      <c r="CV431" s="46" t="s">
        <v>23</v>
      </c>
      <c r="CW431" s="46" t="s">
        <v>23</v>
      </c>
      <c r="CX431" s="49" t="s">
        <v>560</v>
      </c>
      <c r="CY431" s="49" t="s">
        <v>59</v>
      </c>
      <c r="CZ431" s="49">
        <v>0</v>
      </c>
      <c r="DA431" s="49">
        <v>0</v>
      </c>
      <c r="DB431" s="64">
        <v>126340</v>
      </c>
      <c r="DC431" s="58">
        <v>21.04</v>
      </c>
      <c r="DD431" s="58">
        <v>2.4699999999999998</v>
      </c>
      <c r="DE431" s="58">
        <v>58.930000000000007</v>
      </c>
      <c r="DF431" s="58">
        <v>16.41</v>
      </c>
      <c r="DG431" s="58">
        <v>1.1499999999999955</v>
      </c>
      <c r="DH431" s="58">
        <v>78.959999999999994</v>
      </c>
      <c r="DI431" s="45" t="s">
        <v>35</v>
      </c>
      <c r="DJ431" s="59" t="str">
        <f t="shared" si="216"/>
        <v>Latino</v>
      </c>
      <c r="DK431" s="65">
        <v>15007</v>
      </c>
      <c r="DL431" s="58">
        <v>44.35</v>
      </c>
      <c r="DM431" s="58">
        <v>33.43</v>
      </c>
      <c r="DN431" s="58">
        <v>11.39</v>
      </c>
      <c r="DO431" s="58">
        <v>92.490000000000009</v>
      </c>
      <c r="DP431" s="66">
        <v>49</v>
      </c>
      <c r="DQ431" s="67">
        <v>56078.82</v>
      </c>
      <c r="DR431" s="53">
        <v>20.7</v>
      </c>
      <c r="DS431" s="58">
        <v>67.599999999999994</v>
      </c>
      <c r="DT431" s="53">
        <v>47.2</v>
      </c>
      <c r="DU431" s="55">
        <v>4.43</v>
      </c>
      <c r="DV431" s="50">
        <v>28.8</v>
      </c>
      <c r="DW431" s="53">
        <v>52.9</v>
      </c>
      <c r="DX431" s="53">
        <v>91.16</v>
      </c>
      <c r="DY431" s="53">
        <v>59.503599999999999</v>
      </c>
      <c r="DZ431" s="63"/>
    </row>
    <row r="432" spans="1:130" s="5" customFormat="1" ht="14.25" hidden="1" customHeight="1">
      <c r="A432" s="45">
        <v>1386</v>
      </c>
      <c r="B432" s="46" t="s">
        <v>357</v>
      </c>
      <c r="C432" s="47">
        <v>2010</v>
      </c>
      <c r="D432" s="47" t="s">
        <v>365</v>
      </c>
      <c r="E432" s="46" t="s">
        <v>366</v>
      </c>
      <c r="F432" s="46">
        <v>4</v>
      </c>
      <c r="G432" s="48">
        <v>15000</v>
      </c>
      <c r="H432" s="46" t="s">
        <v>332</v>
      </c>
      <c r="I432" s="46">
        <v>1</v>
      </c>
      <c r="J432" s="46">
        <v>3</v>
      </c>
      <c r="K432" s="49" t="s">
        <v>367</v>
      </c>
      <c r="L432" s="49" t="s">
        <v>30</v>
      </c>
      <c r="M432" s="49" t="s">
        <v>29</v>
      </c>
      <c r="N432" s="49" t="s">
        <v>513</v>
      </c>
      <c r="O432" s="49"/>
      <c r="P432" s="49" t="s">
        <v>857</v>
      </c>
      <c r="Q432" s="49" t="s">
        <v>35</v>
      </c>
      <c r="R432" s="49">
        <v>1</v>
      </c>
      <c r="S432" s="50">
        <f t="shared" si="206"/>
        <v>33.333333333333329</v>
      </c>
      <c r="T432" s="49">
        <v>2</v>
      </c>
      <c r="U432" s="50">
        <f t="shared" si="207"/>
        <v>66.666666666666657</v>
      </c>
      <c r="V432" s="49" t="s">
        <v>799</v>
      </c>
      <c r="W432" s="49">
        <v>0</v>
      </c>
      <c r="X432" s="50">
        <f t="shared" si="208"/>
        <v>0</v>
      </c>
      <c r="Y432" s="51" t="str">
        <f t="shared" si="209"/>
        <v>No</v>
      </c>
      <c r="Z432" s="49" t="s">
        <v>29</v>
      </c>
      <c r="AA432" s="49" t="s">
        <v>35</v>
      </c>
      <c r="AB432" s="45" t="s">
        <v>35</v>
      </c>
      <c r="AC432" s="46" t="s">
        <v>26</v>
      </c>
      <c r="AD432" s="46" t="s">
        <v>27</v>
      </c>
      <c r="AE432" s="46" t="s">
        <v>73</v>
      </c>
      <c r="AF432" s="46" t="s">
        <v>29</v>
      </c>
      <c r="AG432" s="107">
        <v>47944</v>
      </c>
      <c r="AH432" s="70">
        <f>SUM(21998+9731+9094)</f>
        <v>40823</v>
      </c>
      <c r="AI432" s="70">
        <f>SUM(21998+9731+9094)</f>
        <v>40823</v>
      </c>
      <c r="AJ432" s="102">
        <v>53.9</v>
      </c>
      <c r="AK432" s="104">
        <v>107.8</v>
      </c>
      <c r="AL432" s="102">
        <v>53.9</v>
      </c>
      <c r="AM432" s="102"/>
      <c r="AN432" s="53">
        <f t="shared" si="210"/>
        <v>107.8</v>
      </c>
      <c r="AO432" s="53">
        <v>23.8</v>
      </c>
      <c r="AP432" s="102">
        <f t="shared" si="211"/>
        <v>7121</v>
      </c>
      <c r="AQ432" s="102">
        <f t="shared" si="212"/>
        <v>14.852744869013851</v>
      </c>
      <c r="AR432" s="50"/>
      <c r="AS432" s="50"/>
      <c r="AT432" s="102"/>
      <c r="AU432" s="102"/>
      <c r="AV432" s="50"/>
      <c r="AW432" s="50"/>
      <c r="AX432" s="50"/>
      <c r="AY432" s="50"/>
      <c r="AZ432" s="102"/>
      <c r="BA432" s="102"/>
      <c r="BB432" s="102"/>
      <c r="BC432" s="102"/>
      <c r="BD432" s="50"/>
      <c r="BE432" s="50"/>
      <c r="BF432" s="50"/>
      <c r="BG432" s="50"/>
      <c r="BH432" s="102"/>
      <c r="BI432" s="102"/>
      <c r="BJ432" s="50"/>
      <c r="BK432" s="50"/>
      <c r="BL432" s="50"/>
      <c r="BM432" s="50"/>
      <c r="BN432" s="102"/>
      <c r="BO432" s="50"/>
      <c r="BP432" s="50"/>
      <c r="BQ432" s="50"/>
      <c r="BR432" s="102"/>
      <c r="BS432" s="54" t="s">
        <v>23</v>
      </c>
      <c r="BT432" s="45" t="str">
        <f t="shared" si="219"/>
        <v>No</v>
      </c>
      <c r="BU432" s="45" t="str">
        <f t="shared" si="220"/>
        <v>No</v>
      </c>
      <c r="BV432" s="45" t="str">
        <f t="shared" si="221"/>
        <v>No</v>
      </c>
      <c r="BW432" s="55">
        <f t="shared" si="218"/>
        <v>66.855449020484542</v>
      </c>
      <c r="BX432" s="55"/>
      <c r="BY432" s="55">
        <v>63.220449020484537</v>
      </c>
      <c r="BZ432" s="55"/>
      <c r="CA432" s="45">
        <v>2008</v>
      </c>
      <c r="CB432" s="55">
        <f t="shared" si="214"/>
        <v>32.312015197087227</v>
      </c>
      <c r="CC432" s="46" t="s">
        <v>355</v>
      </c>
      <c r="CD432" s="46" t="s">
        <v>179</v>
      </c>
      <c r="CE432" s="46" t="s">
        <v>179</v>
      </c>
      <c r="CF432" s="46">
        <v>1</v>
      </c>
      <c r="CG432" s="46" t="str">
        <f t="shared" si="215"/>
        <v>No</v>
      </c>
      <c r="CH432" s="46" t="s">
        <v>35</v>
      </c>
      <c r="CI432" s="56">
        <v>0</v>
      </c>
      <c r="CJ432" s="46">
        <v>20</v>
      </c>
      <c r="CK432" s="46" t="s">
        <v>23</v>
      </c>
      <c r="CL432" s="49" t="s">
        <v>29</v>
      </c>
      <c r="CM432" s="50">
        <v>0</v>
      </c>
      <c r="CN432" s="50"/>
      <c r="CO432" s="50"/>
      <c r="CP432" s="46" t="s">
        <v>35</v>
      </c>
      <c r="CQ432" s="46" t="s">
        <v>24</v>
      </c>
      <c r="CR432" s="46">
        <v>7</v>
      </c>
      <c r="CS432" s="46" t="s">
        <v>854</v>
      </c>
      <c r="CT432" s="46" t="s">
        <v>53</v>
      </c>
      <c r="CU432" s="46" t="s">
        <v>29</v>
      </c>
      <c r="CV432" s="46" t="s">
        <v>23</v>
      </c>
      <c r="CW432" s="46" t="s">
        <v>23</v>
      </c>
      <c r="CX432" s="49" t="s">
        <v>560</v>
      </c>
      <c r="CY432" s="49" t="s">
        <v>59</v>
      </c>
      <c r="CZ432" s="49">
        <v>0</v>
      </c>
      <c r="DA432" s="49">
        <v>0</v>
      </c>
      <c r="DB432" s="64">
        <v>126340</v>
      </c>
      <c r="DC432" s="58">
        <v>21.04</v>
      </c>
      <c r="DD432" s="58">
        <v>2.4699999999999998</v>
      </c>
      <c r="DE432" s="58">
        <v>58.930000000000007</v>
      </c>
      <c r="DF432" s="58">
        <v>16.41</v>
      </c>
      <c r="DG432" s="58">
        <v>1.1499999999999955</v>
      </c>
      <c r="DH432" s="58">
        <v>78.959999999999994</v>
      </c>
      <c r="DI432" s="45" t="s">
        <v>35</v>
      </c>
      <c r="DJ432" s="59" t="str">
        <f t="shared" si="216"/>
        <v>Latino</v>
      </c>
      <c r="DK432" s="65">
        <v>28960</v>
      </c>
      <c r="DL432" s="58">
        <v>24.6</v>
      </c>
      <c r="DM432" s="58">
        <v>3.2099999999999995</v>
      </c>
      <c r="DN432" s="58">
        <v>41</v>
      </c>
      <c r="DO432" s="58">
        <v>75.400000000000006</v>
      </c>
      <c r="DP432" s="66">
        <v>49</v>
      </c>
      <c r="DQ432" s="67">
        <v>56078.82</v>
      </c>
      <c r="DR432" s="53">
        <v>20.7</v>
      </c>
      <c r="DS432" s="58">
        <v>67.599999999999994</v>
      </c>
      <c r="DT432" s="53">
        <v>47.2</v>
      </c>
      <c r="DU432" s="55">
        <v>4.43</v>
      </c>
      <c r="DV432" s="50">
        <v>28.8</v>
      </c>
      <c r="DW432" s="53">
        <v>52.9</v>
      </c>
      <c r="DX432" s="53">
        <v>91.16</v>
      </c>
      <c r="DY432" s="53">
        <v>59.503599999999999</v>
      </c>
      <c r="DZ432" s="63"/>
    </row>
    <row r="433" spans="1:130" s="5" customFormat="1" ht="14.25" hidden="1" customHeight="1">
      <c r="A433" s="45">
        <v>1383</v>
      </c>
      <c r="B433" s="46" t="s">
        <v>357</v>
      </c>
      <c r="C433" s="47">
        <v>2010</v>
      </c>
      <c r="D433" s="47" t="s">
        <v>38</v>
      </c>
      <c r="E433" s="46" t="s">
        <v>22</v>
      </c>
      <c r="F433" s="46">
        <v>2</v>
      </c>
      <c r="G433" s="48">
        <v>17000</v>
      </c>
      <c r="H433" s="46" t="s">
        <v>332</v>
      </c>
      <c r="I433" s="46">
        <v>1</v>
      </c>
      <c r="J433" s="46">
        <v>5</v>
      </c>
      <c r="K433" s="49" t="s">
        <v>358</v>
      </c>
      <c r="L433" s="49" t="s">
        <v>30</v>
      </c>
      <c r="M433" s="49" t="s">
        <v>29</v>
      </c>
      <c r="N433" s="49" t="s">
        <v>513</v>
      </c>
      <c r="O433" s="49"/>
      <c r="P433" s="49" t="s">
        <v>857</v>
      </c>
      <c r="Q433" s="49" t="s">
        <v>35</v>
      </c>
      <c r="R433" s="49">
        <v>0</v>
      </c>
      <c r="S433" s="50">
        <f t="shared" si="206"/>
        <v>0</v>
      </c>
      <c r="T433" s="49">
        <v>3</v>
      </c>
      <c r="U433" s="50">
        <f t="shared" si="207"/>
        <v>60</v>
      </c>
      <c r="V433" s="49" t="s">
        <v>791</v>
      </c>
      <c r="W433" s="49">
        <v>0</v>
      </c>
      <c r="X433" s="50">
        <f t="shared" si="208"/>
        <v>0</v>
      </c>
      <c r="Y433" s="51" t="str">
        <f t="shared" si="209"/>
        <v>No</v>
      </c>
      <c r="Z433" s="49" t="s">
        <v>29</v>
      </c>
      <c r="AA433" s="49" t="s">
        <v>35</v>
      </c>
      <c r="AB433" s="49" t="s">
        <v>29</v>
      </c>
      <c r="AC433" s="46" t="s">
        <v>26</v>
      </c>
      <c r="AD433" s="46" t="s">
        <v>27</v>
      </c>
      <c r="AE433" s="46" t="s">
        <v>73</v>
      </c>
      <c r="AF433" s="46" t="s">
        <v>29</v>
      </c>
      <c r="AG433" s="107">
        <v>47944</v>
      </c>
      <c r="AH433" s="70">
        <f>SUM(21588+11689+4216+3820+2339)</f>
        <v>43652</v>
      </c>
      <c r="AI433" s="70">
        <f>SUM(21588+11689+4216+3820+2339)</f>
        <v>43652</v>
      </c>
      <c r="AJ433" s="102">
        <v>49.5</v>
      </c>
      <c r="AK433" s="104">
        <v>99</v>
      </c>
      <c r="AL433" s="102">
        <v>49.5</v>
      </c>
      <c r="AM433" s="102"/>
      <c r="AN433" s="53">
        <f t="shared" si="210"/>
        <v>99</v>
      </c>
      <c r="AO433" s="53">
        <v>26.8</v>
      </c>
      <c r="AP433" s="102">
        <f t="shared" si="211"/>
        <v>4292</v>
      </c>
      <c r="AQ433" s="102">
        <f t="shared" si="212"/>
        <v>8.9521107959285828</v>
      </c>
      <c r="AR433" s="50"/>
      <c r="AS433" s="50"/>
      <c r="AT433" s="102"/>
      <c r="AU433" s="102"/>
      <c r="AV433" s="50"/>
      <c r="AW433" s="50"/>
      <c r="AX433" s="50"/>
      <c r="AY433" s="50"/>
      <c r="AZ433" s="102"/>
      <c r="BA433" s="102"/>
      <c r="BB433" s="102"/>
      <c r="BC433" s="102"/>
      <c r="BD433" s="50"/>
      <c r="BE433" s="50"/>
      <c r="BF433" s="50"/>
      <c r="BG433" s="50"/>
      <c r="BH433" s="102"/>
      <c r="BI433" s="102"/>
      <c r="BJ433" s="50"/>
      <c r="BK433" s="50"/>
      <c r="BL433" s="50"/>
      <c r="BM433" s="50"/>
      <c r="BN433" s="102"/>
      <c r="BO433" s="50"/>
      <c r="BP433" s="50"/>
      <c r="BQ433" s="50"/>
      <c r="BR433" s="102"/>
      <c r="BS433" s="54" t="s">
        <v>23</v>
      </c>
      <c r="BT433" s="45" t="str">
        <f t="shared" si="219"/>
        <v>Yes</v>
      </c>
      <c r="BU433" s="45" t="str">
        <f t="shared" si="220"/>
        <v>No</v>
      </c>
      <c r="BV433" s="45" t="str">
        <f t="shared" si="221"/>
        <v>No</v>
      </c>
      <c r="BW433" s="55">
        <f t="shared" si="218"/>
        <v>66.855449020484542</v>
      </c>
      <c r="BX433" s="55">
        <f>(40372/(40372+20015))*100</f>
        <v>66.855449020484542</v>
      </c>
      <c r="BY433" s="55">
        <v>63.220449020484537</v>
      </c>
      <c r="BZ433" s="55">
        <f>BX433-(0.0727*100/2)</f>
        <v>63.220449020484544</v>
      </c>
      <c r="CA433" s="45">
        <v>2008</v>
      </c>
      <c r="CB433" s="55">
        <f t="shared" si="214"/>
        <v>34.551211017888242</v>
      </c>
      <c r="CC433" s="46" t="s">
        <v>39</v>
      </c>
      <c r="CD433" s="46" t="s">
        <v>179</v>
      </c>
      <c r="CE433" s="46" t="s">
        <v>179</v>
      </c>
      <c r="CF433" s="46">
        <v>1</v>
      </c>
      <c r="CG433" s="46" t="str">
        <f t="shared" si="215"/>
        <v>No</v>
      </c>
      <c r="CH433" s="46" t="s">
        <v>35</v>
      </c>
      <c r="CI433" s="56">
        <v>0</v>
      </c>
      <c r="CJ433" s="46">
        <v>20</v>
      </c>
      <c r="CK433" s="46" t="s">
        <v>23</v>
      </c>
      <c r="CL433" s="49" t="s">
        <v>29</v>
      </c>
      <c r="CM433" s="50">
        <v>0</v>
      </c>
      <c r="CN433" s="50"/>
      <c r="CO433" s="50"/>
      <c r="CP433" s="46" t="s">
        <v>23</v>
      </c>
      <c r="CQ433" s="46" t="s">
        <v>23</v>
      </c>
      <c r="CR433" s="46">
        <v>7</v>
      </c>
      <c r="CS433" s="46" t="s">
        <v>854</v>
      </c>
      <c r="CT433" s="46" t="s">
        <v>53</v>
      </c>
      <c r="CU433" s="46" t="s">
        <v>29</v>
      </c>
      <c r="CV433" s="46" t="s">
        <v>23</v>
      </c>
      <c r="CW433" s="46" t="s">
        <v>23</v>
      </c>
      <c r="CX433" s="49" t="s">
        <v>560</v>
      </c>
      <c r="CY433" s="49" t="s">
        <v>59</v>
      </c>
      <c r="CZ433" s="49">
        <v>0</v>
      </c>
      <c r="DA433" s="49">
        <v>0</v>
      </c>
      <c r="DB433" s="64">
        <v>126340</v>
      </c>
      <c r="DC433" s="58">
        <v>21.04</v>
      </c>
      <c r="DD433" s="58">
        <v>2.4699999999999998</v>
      </c>
      <c r="DE433" s="58">
        <v>58.930000000000007</v>
      </c>
      <c r="DF433" s="58">
        <v>16.41</v>
      </c>
      <c r="DG433" s="58">
        <v>1.1499999999999955</v>
      </c>
      <c r="DH433" s="58">
        <v>78.959999999999994</v>
      </c>
      <c r="DI433" s="45" t="s">
        <v>35</v>
      </c>
      <c r="DJ433" s="59" t="str">
        <f t="shared" si="216"/>
        <v>Latino</v>
      </c>
      <c r="DK433" s="65">
        <v>126340</v>
      </c>
      <c r="DL433" s="58">
        <v>21.04</v>
      </c>
      <c r="DM433" s="58">
        <v>2.4699999999999998</v>
      </c>
      <c r="DN433" s="58">
        <v>58.930000000000007</v>
      </c>
      <c r="DO433" s="58">
        <v>78.959999999999994</v>
      </c>
      <c r="DP433" s="66">
        <v>49</v>
      </c>
      <c r="DQ433" s="67">
        <v>56078.82</v>
      </c>
      <c r="DR433" s="53">
        <v>20.7</v>
      </c>
      <c r="DS433" s="58">
        <v>67.599999999999994</v>
      </c>
      <c r="DT433" s="53">
        <v>47.2</v>
      </c>
      <c r="DU433" s="55">
        <v>4.43</v>
      </c>
      <c r="DV433" s="50">
        <v>28.8</v>
      </c>
      <c r="DW433" s="53">
        <v>52.9</v>
      </c>
      <c r="DX433" s="53">
        <v>91.16</v>
      </c>
      <c r="DY433" s="53">
        <v>59.503599999999999</v>
      </c>
      <c r="DZ433" s="63"/>
    </row>
    <row r="434" spans="1:130" s="5" customFormat="1" ht="14.25" hidden="1" customHeight="1">
      <c r="A434" s="45">
        <v>1380</v>
      </c>
      <c r="B434" s="46" t="s">
        <v>357</v>
      </c>
      <c r="C434" s="47">
        <v>2012</v>
      </c>
      <c r="D434" s="47" t="s">
        <v>368</v>
      </c>
      <c r="E434" s="46" t="s">
        <v>369</v>
      </c>
      <c r="F434" s="46">
        <v>4</v>
      </c>
      <c r="G434" s="48">
        <v>15000</v>
      </c>
      <c r="H434" s="46" t="s">
        <v>332</v>
      </c>
      <c r="I434" s="46">
        <v>1</v>
      </c>
      <c r="J434" s="46">
        <v>2</v>
      </c>
      <c r="K434" s="49" t="s">
        <v>370</v>
      </c>
      <c r="L434" s="49" t="s">
        <v>30</v>
      </c>
      <c r="M434" s="49" t="s">
        <v>29</v>
      </c>
      <c r="N434" s="49" t="s">
        <v>513</v>
      </c>
      <c r="O434" s="49"/>
      <c r="P434" s="49" t="s">
        <v>857</v>
      </c>
      <c r="Q434" s="49" t="s">
        <v>35</v>
      </c>
      <c r="R434" s="49">
        <v>1</v>
      </c>
      <c r="S434" s="50">
        <f t="shared" si="206"/>
        <v>50</v>
      </c>
      <c r="T434" s="49">
        <v>1</v>
      </c>
      <c r="U434" s="50">
        <f t="shared" si="207"/>
        <v>50</v>
      </c>
      <c r="V434" s="49" t="s">
        <v>789</v>
      </c>
      <c r="W434" s="49">
        <v>0</v>
      </c>
      <c r="X434" s="50">
        <f t="shared" si="208"/>
        <v>0</v>
      </c>
      <c r="Y434" s="51" t="str">
        <f t="shared" si="209"/>
        <v>No</v>
      </c>
      <c r="Z434" s="49" t="s">
        <v>29</v>
      </c>
      <c r="AA434" s="49" t="s">
        <v>35</v>
      </c>
      <c r="AB434" s="49" t="s">
        <v>29</v>
      </c>
      <c r="AC434" s="46" t="s">
        <v>26</v>
      </c>
      <c r="AD434" s="46" t="s">
        <v>27</v>
      </c>
      <c r="AE434" s="46" t="s">
        <v>89</v>
      </c>
      <c r="AF434" s="46" t="s">
        <v>29</v>
      </c>
      <c r="AG434" s="107">
        <v>62447</v>
      </c>
      <c r="AH434" s="70">
        <f>SUM(27289+25230)</f>
        <v>52519</v>
      </c>
      <c r="AI434" s="70">
        <f>SUM(27289+25230)</f>
        <v>52519</v>
      </c>
      <c r="AJ434" s="102">
        <v>52</v>
      </c>
      <c r="AK434" s="104">
        <v>104</v>
      </c>
      <c r="AL434" s="102">
        <v>52</v>
      </c>
      <c r="AM434" s="102"/>
      <c r="AN434" s="53">
        <f t="shared" si="210"/>
        <v>104</v>
      </c>
      <c r="AO434" s="53">
        <v>48</v>
      </c>
      <c r="AP434" s="102">
        <v>9928</v>
      </c>
      <c r="AQ434" s="102">
        <v>15.898281742917995</v>
      </c>
      <c r="AR434" s="102"/>
      <c r="AS434" s="102"/>
      <c r="AT434" s="102"/>
      <c r="AU434" s="102"/>
      <c r="AV434" s="50"/>
      <c r="AW434" s="50"/>
      <c r="AX434" s="102"/>
      <c r="AY434" s="102"/>
      <c r="AZ434" s="102"/>
      <c r="BA434" s="102"/>
      <c r="BB434" s="102"/>
      <c r="BC434" s="102"/>
      <c r="BD434" s="102"/>
      <c r="BE434" s="102"/>
      <c r="BF434" s="102"/>
      <c r="BG434" s="102"/>
      <c r="BH434" s="102"/>
      <c r="BI434" s="102"/>
      <c r="BJ434" s="50"/>
      <c r="BK434" s="50"/>
      <c r="BL434" s="50"/>
      <c r="BM434" s="50"/>
      <c r="BN434" s="102"/>
      <c r="BO434" s="102"/>
      <c r="BP434" s="102"/>
      <c r="BQ434" s="102"/>
      <c r="BR434" s="102"/>
      <c r="BS434" s="54" t="s">
        <v>23</v>
      </c>
      <c r="BT434" s="45" t="str">
        <f t="shared" si="219"/>
        <v>Yes</v>
      </c>
      <c r="BU434" s="45" t="str">
        <f t="shared" si="220"/>
        <v>Yes</v>
      </c>
      <c r="BV434" s="45" t="str">
        <f t="shared" si="221"/>
        <v>Yes</v>
      </c>
      <c r="BW434" s="55">
        <f t="shared" ref="BW434:BW441" si="222">(42748/(42748+17584))*100</f>
        <v>70.854604521646891</v>
      </c>
      <c r="BX434" s="55"/>
      <c r="BY434" s="55">
        <v>68.924604521646899</v>
      </c>
      <c r="BZ434" s="55"/>
      <c r="CA434" s="45">
        <v>2012</v>
      </c>
      <c r="CB434" s="55">
        <f t="shared" si="214"/>
        <v>40.241360815263199</v>
      </c>
      <c r="CC434" s="46" t="s">
        <v>355</v>
      </c>
      <c r="CD434" s="46" t="s">
        <v>179</v>
      </c>
      <c r="CE434" s="46" t="s">
        <v>179</v>
      </c>
      <c r="CF434" s="46">
        <v>1</v>
      </c>
      <c r="CG434" s="46" t="str">
        <f t="shared" si="215"/>
        <v>No</v>
      </c>
      <c r="CH434" s="46" t="s">
        <v>35</v>
      </c>
      <c r="CI434" s="56">
        <v>0</v>
      </c>
      <c r="CJ434" s="46">
        <v>20</v>
      </c>
      <c r="CK434" s="46" t="s">
        <v>23</v>
      </c>
      <c r="CL434" s="49" t="s">
        <v>29</v>
      </c>
      <c r="CM434" s="50">
        <v>0</v>
      </c>
      <c r="CN434" s="50"/>
      <c r="CO434" s="50"/>
      <c r="CP434" s="46" t="s">
        <v>35</v>
      </c>
      <c r="CQ434" s="46" t="s">
        <v>24</v>
      </c>
      <c r="CR434" s="46">
        <v>7</v>
      </c>
      <c r="CS434" s="46" t="s">
        <v>854</v>
      </c>
      <c r="CT434" s="46" t="s">
        <v>53</v>
      </c>
      <c r="CU434" s="46" t="s">
        <v>29</v>
      </c>
      <c r="CV434" s="46" t="s">
        <v>23</v>
      </c>
      <c r="CW434" s="46" t="s">
        <v>23</v>
      </c>
      <c r="CX434" s="49" t="s">
        <v>560</v>
      </c>
      <c r="CY434" s="49" t="s">
        <v>59</v>
      </c>
      <c r="CZ434" s="49">
        <v>0</v>
      </c>
      <c r="DA434" s="49">
        <v>0</v>
      </c>
      <c r="DB434" s="64">
        <v>130510</v>
      </c>
      <c r="DC434" s="58">
        <v>19.322738208062987</v>
      </c>
      <c r="DD434" s="58">
        <v>2.0631333381934827</v>
      </c>
      <c r="DE434" s="58">
        <v>60.461471167164838</v>
      </c>
      <c r="DF434" s="58">
        <v>16.822191441277248</v>
      </c>
      <c r="DG434" s="58">
        <v>1.3304658453014429</v>
      </c>
      <c r="DH434" s="58">
        <v>80.677261791937013</v>
      </c>
      <c r="DI434" s="45" t="s">
        <v>35</v>
      </c>
      <c r="DJ434" s="59" t="str">
        <f t="shared" si="216"/>
        <v>Latino</v>
      </c>
      <c r="DK434" s="65">
        <v>24805</v>
      </c>
      <c r="DL434" s="58">
        <v>56.899999999999991</v>
      </c>
      <c r="DM434" s="58">
        <v>9.08</v>
      </c>
      <c r="DN434" s="58">
        <v>12.030000000000001</v>
      </c>
      <c r="DO434" s="58">
        <v>77.210000000000008</v>
      </c>
      <c r="DP434" s="66">
        <v>49.8</v>
      </c>
      <c r="DQ434" s="67">
        <v>52519</v>
      </c>
      <c r="DR434" s="53">
        <v>22.1</v>
      </c>
      <c r="DS434" s="58">
        <v>67.400000000000006</v>
      </c>
      <c r="DT434" s="53">
        <v>45.4</v>
      </c>
      <c r="DU434" s="55">
        <v>4.3899999999999997</v>
      </c>
      <c r="DV434" s="102">
        <v>29.7</v>
      </c>
      <c r="DW434" s="53">
        <v>54.1</v>
      </c>
      <c r="DX434" s="53">
        <v>91.67</v>
      </c>
      <c r="DY434" s="53">
        <v>63.8489</v>
      </c>
      <c r="DZ434" s="63"/>
    </row>
    <row r="435" spans="1:130" s="5" customFormat="1" ht="14.25" hidden="1" customHeight="1">
      <c r="A435" s="45">
        <v>1381</v>
      </c>
      <c r="B435" s="46" t="s">
        <v>357</v>
      </c>
      <c r="C435" s="47">
        <v>2012</v>
      </c>
      <c r="D435" s="47" t="s">
        <v>371</v>
      </c>
      <c r="E435" s="46" t="s">
        <v>372</v>
      </c>
      <c r="F435" s="46">
        <v>4</v>
      </c>
      <c r="G435" s="48">
        <v>15000</v>
      </c>
      <c r="H435" s="46" t="s">
        <v>332</v>
      </c>
      <c r="I435" s="46">
        <v>1</v>
      </c>
      <c r="J435" s="46">
        <v>6</v>
      </c>
      <c r="K435" s="49" t="s">
        <v>373</v>
      </c>
      <c r="L435" s="49" t="s">
        <v>40</v>
      </c>
      <c r="M435" s="49" t="s">
        <v>35</v>
      </c>
      <c r="N435" s="49" t="s">
        <v>512</v>
      </c>
      <c r="O435" s="49"/>
      <c r="P435" s="49" t="s">
        <v>31</v>
      </c>
      <c r="Q435" s="49" t="s">
        <v>29</v>
      </c>
      <c r="R435" s="49">
        <v>1</v>
      </c>
      <c r="S435" s="50">
        <f t="shared" si="206"/>
        <v>16.666666666666664</v>
      </c>
      <c r="T435" s="49">
        <v>1</v>
      </c>
      <c r="U435" s="50">
        <f t="shared" si="207"/>
        <v>16.666666666666664</v>
      </c>
      <c r="V435" s="49" t="s">
        <v>789</v>
      </c>
      <c r="W435" s="49">
        <v>0</v>
      </c>
      <c r="X435" s="50">
        <f t="shared" si="208"/>
        <v>0</v>
      </c>
      <c r="Y435" s="51" t="str">
        <f t="shared" si="209"/>
        <v>No</v>
      </c>
      <c r="Z435" s="49" t="s">
        <v>35</v>
      </c>
      <c r="AA435" s="49" t="s">
        <v>23</v>
      </c>
      <c r="AB435" s="49" t="s">
        <v>23</v>
      </c>
      <c r="AC435" s="46" t="s">
        <v>26</v>
      </c>
      <c r="AD435" s="46" t="s">
        <v>27</v>
      </c>
      <c r="AE435" s="46" t="s">
        <v>89</v>
      </c>
      <c r="AF435" s="46" t="s">
        <v>29</v>
      </c>
      <c r="AG435" s="107">
        <v>62447</v>
      </c>
      <c r="AH435" s="70">
        <f>SUM(19577+11876+8358+6265+4355+3010)</f>
        <v>53441</v>
      </c>
      <c r="AI435" s="70">
        <f>SUM(19577+11876+8358+6265+4355+3010)</f>
        <v>53441</v>
      </c>
      <c r="AJ435" s="102">
        <v>36.6</v>
      </c>
      <c r="AK435" s="104">
        <v>73.2</v>
      </c>
      <c r="AL435" s="102">
        <v>36.6</v>
      </c>
      <c r="AM435" s="102"/>
      <c r="AN435" s="53">
        <f t="shared" si="210"/>
        <v>73.2</v>
      </c>
      <c r="AO435" s="53">
        <v>22.2</v>
      </c>
      <c r="AP435" s="102">
        <v>9006</v>
      </c>
      <c r="AQ435" s="102">
        <v>14.421829711595432</v>
      </c>
      <c r="AR435" s="50"/>
      <c r="AS435" s="50"/>
      <c r="AT435" s="102"/>
      <c r="AU435" s="102"/>
      <c r="AV435" s="102"/>
      <c r="AW435" s="102"/>
      <c r="AX435" s="50"/>
      <c r="AY435" s="50"/>
      <c r="AZ435" s="102"/>
      <c r="BA435" s="102"/>
      <c r="BB435" s="102"/>
      <c r="BC435" s="102"/>
      <c r="BD435" s="50"/>
      <c r="BE435" s="50"/>
      <c r="BF435" s="50"/>
      <c r="BG435" s="50"/>
      <c r="BH435" s="102"/>
      <c r="BI435" s="102"/>
      <c r="BJ435" s="102"/>
      <c r="BK435" s="102"/>
      <c r="BL435" s="102"/>
      <c r="BM435" s="102"/>
      <c r="BN435" s="102"/>
      <c r="BO435" s="50"/>
      <c r="BP435" s="50"/>
      <c r="BQ435" s="50"/>
      <c r="BR435" s="102"/>
      <c r="BS435" s="54" t="s">
        <v>23</v>
      </c>
      <c r="BT435" s="45" t="str">
        <f t="shared" si="219"/>
        <v>Yes</v>
      </c>
      <c r="BU435" s="45" t="str">
        <f t="shared" si="220"/>
        <v>No</v>
      </c>
      <c r="BV435" s="45" t="str">
        <f t="shared" si="221"/>
        <v>No</v>
      </c>
      <c r="BW435" s="55">
        <f t="shared" si="222"/>
        <v>70.854604521646891</v>
      </c>
      <c r="BX435" s="55"/>
      <c r="BY435" s="55">
        <v>68.924604521646899</v>
      </c>
      <c r="BZ435" s="55"/>
      <c r="CA435" s="45">
        <v>2012</v>
      </c>
      <c r="CB435" s="55">
        <f t="shared" si="214"/>
        <v>40.947820090414524</v>
      </c>
      <c r="CC435" s="46" t="s">
        <v>355</v>
      </c>
      <c r="CD435" s="46" t="s">
        <v>179</v>
      </c>
      <c r="CE435" s="46" t="s">
        <v>179</v>
      </c>
      <c r="CF435" s="46">
        <v>1</v>
      </c>
      <c r="CG435" s="46" t="str">
        <f t="shared" si="215"/>
        <v>No</v>
      </c>
      <c r="CH435" s="46" t="s">
        <v>35</v>
      </c>
      <c r="CI435" s="56">
        <v>0</v>
      </c>
      <c r="CJ435" s="46">
        <v>20</v>
      </c>
      <c r="CK435" s="46" t="s">
        <v>23</v>
      </c>
      <c r="CL435" s="49" t="s">
        <v>29</v>
      </c>
      <c r="CM435" s="50">
        <v>0</v>
      </c>
      <c r="CN435" s="102"/>
      <c r="CO435" s="50"/>
      <c r="CP435" s="46" t="s">
        <v>35</v>
      </c>
      <c r="CQ435" s="46" t="s">
        <v>24</v>
      </c>
      <c r="CR435" s="46">
        <v>7</v>
      </c>
      <c r="CS435" s="46" t="s">
        <v>854</v>
      </c>
      <c r="CT435" s="46" t="s">
        <v>53</v>
      </c>
      <c r="CU435" s="46" t="s">
        <v>29</v>
      </c>
      <c r="CV435" s="46" t="s">
        <v>23</v>
      </c>
      <c r="CW435" s="46" t="s">
        <v>23</v>
      </c>
      <c r="CX435" s="49" t="s">
        <v>560</v>
      </c>
      <c r="CY435" s="49" t="s">
        <v>59</v>
      </c>
      <c r="CZ435" s="49">
        <v>0</v>
      </c>
      <c r="DA435" s="49">
        <v>0</v>
      </c>
      <c r="DB435" s="64">
        <v>130510</v>
      </c>
      <c r="DC435" s="58">
        <v>19.322738208062987</v>
      </c>
      <c r="DD435" s="58">
        <v>2.0631333381934827</v>
      </c>
      <c r="DE435" s="58">
        <v>60.461471167164838</v>
      </c>
      <c r="DF435" s="58">
        <v>16.822191441277248</v>
      </c>
      <c r="DG435" s="58">
        <v>1.3304658453014429</v>
      </c>
      <c r="DH435" s="58">
        <v>80.677261791937013</v>
      </c>
      <c r="DI435" s="45" t="s">
        <v>35</v>
      </c>
      <c r="DJ435" s="59" t="str">
        <f t="shared" si="216"/>
        <v>Latino</v>
      </c>
      <c r="DK435" s="65">
        <v>25430</v>
      </c>
      <c r="DL435" s="58">
        <v>33.489999999999995</v>
      </c>
      <c r="DM435" s="58">
        <v>1.35</v>
      </c>
      <c r="DN435" s="58">
        <v>40.6</v>
      </c>
      <c r="DO435" s="58">
        <v>66.510000000000005</v>
      </c>
      <c r="DP435" s="66">
        <v>49.8</v>
      </c>
      <c r="DQ435" s="67">
        <v>52519</v>
      </c>
      <c r="DR435" s="53">
        <v>22.1</v>
      </c>
      <c r="DS435" s="58">
        <v>67.400000000000006</v>
      </c>
      <c r="DT435" s="53">
        <v>45.4</v>
      </c>
      <c r="DU435" s="55">
        <v>4.3899999999999997</v>
      </c>
      <c r="DV435" s="50">
        <v>29.7</v>
      </c>
      <c r="DW435" s="53">
        <v>54.1</v>
      </c>
      <c r="DX435" s="53">
        <v>91.67</v>
      </c>
      <c r="DY435" s="53">
        <v>63.8489</v>
      </c>
      <c r="DZ435" s="63"/>
    </row>
    <row r="436" spans="1:130" s="5" customFormat="1" ht="14.25" hidden="1" customHeight="1">
      <c r="A436" s="45">
        <v>1382</v>
      </c>
      <c r="B436" s="46" t="s">
        <v>357</v>
      </c>
      <c r="C436" s="47">
        <v>2012</v>
      </c>
      <c r="D436" s="47" t="s">
        <v>374</v>
      </c>
      <c r="E436" s="46" t="s">
        <v>375</v>
      </c>
      <c r="F436" s="46">
        <v>4</v>
      </c>
      <c r="G436" s="48">
        <v>15000</v>
      </c>
      <c r="H436" s="46" t="s">
        <v>332</v>
      </c>
      <c r="I436" s="46">
        <v>1</v>
      </c>
      <c r="J436" s="46">
        <v>2</v>
      </c>
      <c r="K436" s="49" t="s">
        <v>376</v>
      </c>
      <c r="L436" s="49" t="s">
        <v>30</v>
      </c>
      <c r="M436" s="49" t="s">
        <v>29</v>
      </c>
      <c r="N436" s="49" t="s">
        <v>512</v>
      </c>
      <c r="O436" s="49"/>
      <c r="P436" s="49" t="s">
        <v>857</v>
      </c>
      <c r="Q436" s="49" t="s">
        <v>35</v>
      </c>
      <c r="R436" s="49">
        <v>1</v>
      </c>
      <c r="S436" s="50">
        <f t="shared" si="206"/>
        <v>50</v>
      </c>
      <c r="T436" s="49">
        <v>2</v>
      </c>
      <c r="U436" s="50">
        <f t="shared" si="207"/>
        <v>100</v>
      </c>
      <c r="V436" s="49" t="s">
        <v>794</v>
      </c>
      <c r="W436" s="49">
        <v>1</v>
      </c>
      <c r="X436" s="50">
        <f t="shared" si="208"/>
        <v>50</v>
      </c>
      <c r="Y436" s="51" t="str">
        <f t="shared" si="209"/>
        <v>No</v>
      </c>
      <c r="Z436" s="49" t="s">
        <v>35</v>
      </c>
      <c r="AA436" s="49" t="s">
        <v>23</v>
      </c>
      <c r="AB436" s="49" t="s">
        <v>23</v>
      </c>
      <c r="AC436" s="46" t="s">
        <v>26</v>
      </c>
      <c r="AD436" s="46" t="s">
        <v>27</v>
      </c>
      <c r="AE436" s="46" t="s">
        <v>89</v>
      </c>
      <c r="AF436" s="46" t="s">
        <v>29</v>
      </c>
      <c r="AG436" s="107">
        <v>62447</v>
      </c>
      <c r="AH436" s="70">
        <f>SUM(32419+20065)</f>
        <v>52484</v>
      </c>
      <c r="AI436" s="70">
        <f>SUM(32419+20065)</f>
        <v>52484</v>
      </c>
      <c r="AJ436" s="102">
        <v>61.8</v>
      </c>
      <c r="AK436" s="104">
        <v>123.6</v>
      </c>
      <c r="AL436" s="102">
        <v>61.8</v>
      </c>
      <c r="AM436" s="102"/>
      <c r="AN436" s="53">
        <f t="shared" si="210"/>
        <v>123.6</v>
      </c>
      <c r="AO436" s="53">
        <v>38.200000000000003</v>
      </c>
      <c r="AP436" s="102">
        <v>9963</v>
      </c>
      <c r="AQ436" s="102">
        <v>15.954329271221996</v>
      </c>
      <c r="AR436" s="50"/>
      <c r="AS436" s="50"/>
      <c r="AT436" s="102"/>
      <c r="AU436" s="102"/>
      <c r="AV436" s="50"/>
      <c r="AW436" s="50"/>
      <c r="AX436" s="50"/>
      <c r="AY436" s="50"/>
      <c r="AZ436" s="102"/>
      <c r="BA436" s="102"/>
      <c r="BB436" s="102"/>
      <c r="BC436" s="102"/>
      <c r="BD436" s="50"/>
      <c r="BE436" s="50"/>
      <c r="BF436" s="50"/>
      <c r="BG436" s="50"/>
      <c r="BH436" s="102"/>
      <c r="BI436" s="102"/>
      <c r="BJ436" s="50"/>
      <c r="BK436" s="50"/>
      <c r="BL436" s="50"/>
      <c r="BM436" s="50"/>
      <c r="BN436" s="102"/>
      <c r="BO436" s="50"/>
      <c r="BP436" s="50"/>
      <c r="BQ436" s="50"/>
      <c r="BR436" s="102"/>
      <c r="BS436" s="54" t="s">
        <v>23</v>
      </c>
      <c r="BT436" s="45" t="str">
        <f t="shared" si="219"/>
        <v>Yes</v>
      </c>
      <c r="BU436" s="45" t="str">
        <f t="shared" si="220"/>
        <v>No</v>
      </c>
      <c r="BV436" s="45" t="str">
        <f t="shared" si="221"/>
        <v>No</v>
      </c>
      <c r="BW436" s="55">
        <f t="shared" si="222"/>
        <v>70.854604521646891</v>
      </c>
      <c r="BX436" s="55"/>
      <c r="BY436" s="55">
        <v>68.924604521646899</v>
      </c>
      <c r="BZ436" s="55"/>
      <c r="CA436" s="45">
        <v>2012</v>
      </c>
      <c r="CB436" s="55">
        <f t="shared" si="214"/>
        <v>40.214542946900622</v>
      </c>
      <c r="CC436" s="46" t="s">
        <v>355</v>
      </c>
      <c r="CD436" s="46" t="s">
        <v>179</v>
      </c>
      <c r="CE436" s="46" t="s">
        <v>179</v>
      </c>
      <c r="CF436" s="46">
        <v>1</v>
      </c>
      <c r="CG436" s="46" t="str">
        <f t="shared" si="215"/>
        <v>No</v>
      </c>
      <c r="CH436" s="46" t="s">
        <v>35</v>
      </c>
      <c r="CI436" s="56">
        <v>0</v>
      </c>
      <c r="CJ436" s="46">
        <v>20</v>
      </c>
      <c r="CK436" s="46" t="s">
        <v>23</v>
      </c>
      <c r="CL436" s="49" t="s">
        <v>29</v>
      </c>
      <c r="CM436" s="50">
        <v>0</v>
      </c>
      <c r="CN436" s="50"/>
      <c r="CO436" s="50"/>
      <c r="CP436" s="46" t="s">
        <v>35</v>
      </c>
      <c r="CQ436" s="46" t="s">
        <v>24</v>
      </c>
      <c r="CR436" s="46">
        <v>7</v>
      </c>
      <c r="CS436" s="46" t="s">
        <v>854</v>
      </c>
      <c r="CT436" s="46" t="s">
        <v>53</v>
      </c>
      <c r="CU436" s="46" t="s">
        <v>29</v>
      </c>
      <c r="CV436" s="46" t="s">
        <v>23</v>
      </c>
      <c r="CW436" s="46" t="s">
        <v>23</v>
      </c>
      <c r="CX436" s="49" t="s">
        <v>560</v>
      </c>
      <c r="CY436" s="49" t="s">
        <v>59</v>
      </c>
      <c r="CZ436" s="49">
        <v>0</v>
      </c>
      <c r="DA436" s="49">
        <v>0</v>
      </c>
      <c r="DB436" s="64">
        <v>130510</v>
      </c>
      <c r="DC436" s="58">
        <v>19.322738208062987</v>
      </c>
      <c r="DD436" s="58">
        <v>2.0631333381934827</v>
      </c>
      <c r="DE436" s="58">
        <v>60.461471167164838</v>
      </c>
      <c r="DF436" s="58">
        <v>16.822191441277248</v>
      </c>
      <c r="DG436" s="58">
        <v>1.3304658453014429</v>
      </c>
      <c r="DH436" s="58">
        <v>80.677261791937013</v>
      </c>
      <c r="DI436" s="45" t="s">
        <v>35</v>
      </c>
      <c r="DJ436" s="59" t="str">
        <f t="shared" si="216"/>
        <v>Latino</v>
      </c>
      <c r="DK436" s="65">
        <v>18305</v>
      </c>
      <c r="DL436" s="58">
        <v>79.47</v>
      </c>
      <c r="DM436" s="58">
        <v>2.62</v>
      </c>
      <c r="DN436" s="58">
        <v>4.21</v>
      </c>
      <c r="DO436" s="58">
        <v>84.86</v>
      </c>
      <c r="DP436" s="66">
        <v>49.8</v>
      </c>
      <c r="DQ436" s="67">
        <v>52519</v>
      </c>
      <c r="DR436" s="53">
        <v>22.1</v>
      </c>
      <c r="DS436" s="58">
        <v>67.400000000000006</v>
      </c>
      <c r="DT436" s="53">
        <v>45.4</v>
      </c>
      <c r="DU436" s="55">
        <v>4.3899999999999997</v>
      </c>
      <c r="DV436" s="50">
        <v>29.7</v>
      </c>
      <c r="DW436" s="53">
        <v>54.1</v>
      </c>
      <c r="DX436" s="53">
        <v>91.67</v>
      </c>
      <c r="DY436" s="53">
        <v>63.8489</v>
      </c>
      <c r="DZ436" s="63"/>
    </row>
    <row r="437" spans="1:130" s="5" customFormat="1" ht="14.25" hidden="1" customHeight="1">
      <c r="A437" s="45">
        <v>1379</v>
      </c>
      <c r="B437" s="46" t="s">
        <v>357</v>
      </c>
      <c r="C437" s="47">
        <v>2012</v>
      </c>
      <c r="D437" s="47" t="s">
        <v>38</v>
      </c>
      <c r="E437" s="46" t="s">
        <v>22</v>
      </c>
      <c r="F437" s="46">
        <v>2</v>
      </c>
      <c r="G437" s="48">
        <v>17000</v>
      </c>
      <c r="H437" s="46" t="s">
        <v>332</v>
      </c>
      <c r="I437" s="46">
        <v>1</v>
      </c>
      <c r="J437" s="46">
        <v>6</v>
      </c>
      <c r="K437" s="49" t="s">
        <v>358</v>
      </c>
      <c r="L437" s="49" t="s">
        <v>30</v>
      </c>
      <c r="M437" s="49" t="s">
        <v>29</v>
      </c>
      <c r="N437" s="49" t="s">
        <v>513</v>
      </c>
      <c r="O437" s="49"/>
      <c r="P437" s="49" t="s">
        <v>857</v>
      </c>
      <c r="Q437" s="49" t="s">
        <v>35</v>
      </c>
      <c r="R437" s="49">
        <v>1</v>
      </c>
      <c r="S437" s="50">
        <f t="shared" si="206"/>
        <v>16.666666666666664</v>
      </c>
      <c r="T437" s="49">
        <v>4</v>
      </c>
      <c r="U437" s="50">
        <f t="shared" si="207"/>
        <v>66.666666666666657</v>
      </c>
      <c r="V437" s="49" t="s">
        <v>792</v>
      </c>
      <c r="W437" s="49">
        <v>1</v>
      </c>
      <c r="X437" s="50">
        <f t="shared" si="208"/>
        <v>16.666666666666664</v>
      </c>
      <c r="Y437" s="51" t="str">
        <f t="shared" si="209"/>
        <v>No</v>
      </c>
      <c r="Z437" s="49" t="s">
        <v>29</v>
      </c>
      <c r="AA437" s="49" t="s">
        <v>35</v>
      </c>
      <c r="AB437" s="49" t="s">
        <v>29</v>
      </c>
      <c r="AC437" s="46" t="s">
        <v>26</v>
      </c>
      <c r="AD437" s="46" t="s">
        <v>27</v>
      </c>
      <c r="AE437" s="46" t="s">
        <v>89</v>
      </c>
      <c r="AF437" s="46" t="s">
        <v>29</v>
      </c>
      <c r="AG437" s="107">
        <v>62447</v>
      </c>
      <c r="AH437" s="70">
        <f>SUM(27092+14995+6289+3147+3082+1626)</f>
        <v>56231</v>
      </c>
      <c r="AI437" s="70">
        <f>SUM(27092+14995+6289+3147+3082+1626)</f>
        <v>56231</v>
      </c>
      <c r="AJ437" s="102">
        <v>48.2</v>
      </c>
      <c r="AK437" s="104">
        <v>96.4</v>
      </c>
      <c r="AL437" s="102">
        <v>48.2</v>
      </c>
      <c r="AM437" s="102"/>
      <c r="AN437" s="53">
        <f t="shared" si="210"/>
        <v>96.4</v>
      </c>
      <c r="AO437" s="53">
        <v>36.700000000000003</v>
      </c>
      <c r="AP437" s="102">
        <v>6216</v>
      </c>
      <c r="AQ437" s="102">
        <v>9.9540410267907173</v>
      </c>
      <c r="AR437" s="50"/>
      <c r="AS437" s="50"/>
      <c r="AT437" s="102"/>
      <c r="AU437" s="102"/>
      <c r="AV437" s="50"/>
      <c r="AW437" s="50"/>
      <c r="AX437" s="50"/>
      <c r="AY437" s="50"/>
      <c r="AZ437" s="102"/>
      <c r="BA437" s="102"/>
      <c r="BB437" s="102"/>
      <c r="BC437" s="102"/>
      <c r="BD437" s="50"/>
      <c r="BE437" s="50"/>
      <c r="BF437" s="50"/>
      <c r="BG437" s="50"/>
      <c r="BH437" s="102"/>
      <c r="BI437" s="102"/>
      <c r="BJ437" s="50"/>
      <c r="BK437" s="50"/>
      <c r="BL437" s="50"/>
      <c r="BM437" s="50"/>
      <c r="BN437" s="102"/>
      <c r="BO437" s="50"/>
      <c r="BP437" s="50"/>
      <c r="BQ437" s="50"/>
      <c r="BR437" s="102"/>
      <c r="BS437" s="54" t="s">
        <v>23</v>
      </c>
      <c r="BT437" s="45" t="str">
        <f t="shared" si="219"/>
        <v>Yes</v>
      </c>
      <c r="BU437" s="45" t="str">
        <f t="shared" si="220"/>
        <v>Yes</v>
      </c>
      <c r="BV437" s="45" t="str">
        <f t="shared" si="221"/>
        <v>No</v>
      </c>
      <c r="BW437" s="55">
        <f t="shared" si="222"/>
        <v>70.854604521646891</v>
      </c>
      <c r="BX437" s="55">
        <f>(42748/(42748+17584))*100</f>
        <v>70.854604521646891</v>
      </c>
      <c r="BY437" s="55">
        <v>68.924604521646899</v>
      </c>
      <c r="BZ437" s="55">
        <f>BX437-(0.0386*100/2)</f>
        <v>68.924604521646884</v>
      </c>
      <c r="CA437" s="45">
        <v>2012</v>
      </c>
      <c r="CB437" s="55">
        <f t="shared" si="214"/>
        <v>43.085587311317141</v>
      </c>
      <c r="CC437" s="46" t="s">
        <v>39</v>
      </c>
      <c r="CD437" s="46" t="s">
        <v>179</v>
      </c>
      <c r="CE437" s="46" t="s">
        <v>179</v>
      </c>
      <c r="CF437" s="46">
        <v>1</v>
      </c>
      <c r="CG437" s="46" t="str">
        <f t="shared" si="215"/>
        <v>No</v>
      </c>
      <c r="CH437" s="46" t="s">
        <v>35</v>
      </c>
      <c r="CI437" s="56">
        <v>0</v>
      </c>
      <c r="CJ437" s="46">
        <v>20</v>
      </c>
      <c r="CK437" s="46" t="s">
        <v>23</v>
      </c>
      <c r="CL437" s="49" t="s">
        <v>29</v>
      </c>
      <c r="CM437" s="50">
        <v>0</v>
      </c>
      <c r="CN437" s="50"/>
      <c r="CO437" s="50"/>
      <c r="CP437" s="46" t="s">
        <v>23</v>
      </c>
      <c r="CQ437" s="46" t="s">
        <v>23</v>
      </c>
      <c r="CR437" s="46">
        <v>7</v>
      </c>
      <c r="CS437" s="46" t="s">
        <v>854</v>
      </c>
      <c r="CT437" s="46" t="s">
        <v>53</v>
      </c>
      <c r="CU437" s="46" t="s">
        <v>29</v>
      </c>
      <c r="CV437" s="46" t="s">
        <v>23</v>
      </c>
      <c r="CW437" s="46" t="s">
        <v>23</v>
      </c>
      <c r="CX437" s="49" t="s">
        <v>560</v>
      </c>
      <c r="CY437" s="49" t="s">
        <v>59</v>
      </c>
      <c r="CZ437" s="49">
        <v>0</v>
      </c>
      <c r="DA437" s="49">
        <v>0</v>
      </c>
      <c r="DB437" s="64">
        <v>130510</v>
      </c>
      <c r="DC437" s="58">
        <v>19.322738208062987</v>
      </c>
      <c r="DD437" s="58">
        <v>2.0631333381934827</v>
      </c>
      <c r="DE437" s="58">
        <v>60.461471167164838</v>
      </c>
      <c r="DF437" s="58">
        <v>16.822191441277248</v>
      </c>
      <c r="DG437" s="58">
        <v>1.3304658453014429</v>
      </c>
      <c r="DH437" s="58">
        <v>80.677261791937013</v>
      </c>
      <c r="DI437" s="45" t="s">
        <v>35</v>
      </c>
      <c r="DJ437" s="59" t="str">
        <f t="shared" si="216"/>
        <v>Latino</v>
      </c>
      <c r="DK437" s="65">
        <v>130510</v>
      </c>
      <c r="DL437" s="58">
        <v>19.322738208062987</v>
      </c>
      <c r="DM437" s="58">
        <v>2.0631333381934827</v>
      </c>
      <c r="DN437" s="58">
        <v>60.461471167164838</v>
      </c>
      <c r="DO437" s="58">
        <v>80.677261791937013</v>
      </c>
      <c r="DP437" s="66">
        <v>49.8</v>
      </c>
      <c r="DQ437" s="67">
        <v>52519</v>
      </c>
      <c r="DR437" s="53">
        <v>22.1</v>
      </c>
      <c r="DS437" s="58">
        <v>67.400000000000006</v>
      </c>
      <c r="DT437" s="53">
        <v>45.4</v>
      </c>
      <c r="DU437" s="55">
        <v>4.3899999999999997</v>
      </c>
      <c r="DV437" s="50">
        <v>29.7</v>
      </c>
      <c r="DW437" s="53">
        <v>54.1</v>
      </c>
      <c r="DX437" s="53">
        <v>91.67</v>
      </c>
      <c r="DY437" s="53">
        <v>63.8489</v>
      </c>
      <c r="DZ437" s="63"/>
    </row>
    <row r="438" spans="1:130" s="5" customFormat="1" ht="14.25" hidden="1" customHeight="1">
      <c r="A438" s="45">
        <v>1376</v>
      </c>
      <c r="B438" s="46" t="s">
        <v>357</v>
      </c>
      <c r="C438" s="47">
        <v>2014</v>
      </c>
      <c r="D438" s="47" t="s">
        <v>359</v>
      </c>
      <c r="E438" s="46" t="s">
        <v>360</v>
      </c>
      <c r="F438" s="46">
        <v>4</v>
      </c>
      <c r="G438" s="48">
        <v>15000</v>
      </c>
      <c r="H438" s="46" t="s">
        <v>332</v>
      </c>
      <c r="I438" s="46">
        <v>1</v>
      </c>
      <c r="J438" s="46">
        <v>4</v>
      </c>
      <c r="K438" s="49" t="s">
        <v>361</v>
      </c>
      <c r="L438" s="49" t="s">
        <v>40</v>
      </c>
      <c r="M438" s="49" t="s">
        <v>35</v>
      </c>
      <c r="N438" s="49" t="s">
        <v>513</v>
      </c>
      <c r="O438" s="49">
        <v>2006</v>
      </c>
      <c r="P438" s="49" t="s">
        <v>857</v>
      </c>
      <c r="Q438" s="49" t="s">
        <v>35</v>
      </c>
      <c r="R438" s="49">
        <v>2</v>
      </c>
      <c r="S438" s="50">
        <f t="shared" si="206"/>
        <v>50</v>
      </c>
      <c r="T438" s="49">
        <v>3</v>
      </c>
      <c r="U438" s="50">
        <f t="shared" si="207"/>
        <v>75</v>
      </c>
      <c r="V438" s="49" t="s">
        <v>791</v>
      </c>
      <c r="W438" s="49">
        <v>2</v>
      </c>
      <c r="X438" s="50">
        <f t="shared" si="208"/>
        <v>50</v>
      </c>
      <c r="Y438" s="51" t="str">
        <f t="shared" si="209"/>
        <v>Yes</v>
      </c>
      <c r="Z438" s="49" t="s">
        <v>29</v>
      </c>
      <c r="AA438" s="49" t="s">
        <v>35</v>
      </c>
      <c r="AB438" s="45" t="s">
        <v>35</v>
      </c>
      <c r="AC438" s="46" t="s">
        <v>26</v>
      </c>
      <c r="AD438" s="46" t="s">
        <v>27</v>
      </c>
      <c r="AE438" s="46" t="s">
        <v>73</v>
      </c>
      <c r="AF438" s="46" t="s">
        <v>29</v>
      </c>
      <c r="AG438" s="107">
        <v>36735</v>
      </c>
      <c r="AH438" s="70">
        <f>SUM(16483+5836+5786+3579)</f>
        <v>31684</v>
      </c>
      <c r="AI438" s="70">
        <f>SUM(16483+5836+5786+3579)</f>
        <v>31684</v>
      </c>
      <c r="AJ438" s="102">
        <v>52</v>
      </c>
      <c r="AK438" s="104">
        <v>104</v>
      </c>
      <c r="AL438" s="102">
        <v>52</v>
      </c>
      <c r="AM438" s="102"/>
      <c r="AN438" s="53">
        <f t="shared" si="210"/>
        <v>104</v>
      </c>
      <c r="AO438" s="53">
        <v>18.399999999999999</v>
      </c>
      <c r="AP438" s="102">
        <v>5051</v>
      </c>
      <c r="AQ438" s="102">
        <v>13.749829862528923</v>
      </c>
      <c r="AR438" s="102"/>
      <c r="AS438" s="102"/>
      <c r="AT438" s="102"/>
      <c r="AU438" s="102"/>
      <c r="AV438" s="50"/>
      <c r="AW438" s="50"/>
      <c r="AX438" s="102"/>
      <c r="AY438" s="102"/>
      <c r="AZ438" s="102"/>
      <c r="BA438" s="102"/>
      <c r="BB438" s="102"/>
      <c r="BC438" s="102"/>
      <c r="BD438" s="102"/>
      <c r="BE438" s="102"/>
      <c r="BF438" s="102"/>
      <c r="BG438" s="102"/>
      <c r="BH438" s="102"/>
      <c r="BI438" s="102"/>
      <c r="BJ438" s="50"/>
      <c r="BK438" s="50"/>
      <c r="BL438" s="50"/>
      <c r="BM438" s="50"/>
      <c r="BN438" s="102"/>
      <c r="BO438" s="102"/>
      <c r="BP438" s="102"/>
      <c r="BQ438" s="102"/>
      <c r="BR438" s="102"/>
      <c r="BS438" s="54" t="s">
        <v>23</v>
      </c>
      <c r="BT438" s="45" t="str">
        <f t="shared" si="219"/>
        <v>No</v>
      </c>
      <c r="BU438" s="45" t="str">
        <f t="shared" si="220"/>
        <v>No</v>
      </c>
      <c r="BV438" s="45" t="str">
        <f t="shared" si="221"/>
        <v>No</v>
      </c>
      <c r="BW438" s="55">
        <f t="shared" si="222"/>
        <v>70.854604521646891</v>
      </c>
      <c r="BX438" s="55"/>
      <c r="BY438" s="55">
        <v>68.924604521646899</v>
      </c>
      <c r="BZ438" s="55"/>
      <c r="CA438" s="45">
        <v>2012</v>
      </c>
      <c r="CB438" s="55">
        <f t="shared" si="214"/>
        <v>24.277066891425942</v>
      </c>
      <c r="CC438" s="46" t="s">
        <v>355</v>
      </c>
      <c r="CD438" s="46" t="s">
        <v>179</v>
      </c>
      <c r="CE438" s="46" t="s">
        <v>179</v>
      </c>
      <c r="CF438" s="46">
        <v>1</v>
      </c>
      <c r="CG438" s="46" t="str">
        <f t="shared" si="215"/>
        <v>No</v>
      </c>
      <c r="CH438" s="46" t="s">
        <v>35</v>
      </c>
      <c r="CI438" s="56">
        <v>0</v>
      </c>
      <c r="CJ438" s="46">
        <v>20</v>
      </c>
      <c r="CK438" s="46" t="s">
        <v>23</v>
      </c>
      <c r="CL438" s="49" t="s">
        <v>29</v>
      </c>
      <c r="CM438" s="50">
        <v>0</v>
      </c>
      <c r="CN438" s="50"/>
      <c r="CO438" s="50"/>
      <c r="CP438" s="46" t="s">
        <v>35</v>
      </c>
      <c r="CQ438" s="46" t="s">
        <v>24</v>
      </c>
      <c r="CR438" s="46">
        <v>7</v>
      </c>
      <c r="CS438" s="46" t="s">
        <v>854</v>
      </c>
      <c r="CT438" s="46" t="s">
        <v>53</v>
      </c>
      <c r="CU438" s="46" t="s">
        <v>29</v>
      </c>
      <c r="CV438" s="46" t="s">
        <v>23</v>
      </c>
      <c r="CW438" s="46" t="s">
        <v>23</v>
      </c>
      <c r="CX438" s="49" t="s">
        <v>560</v>
      </c>
      <c r="CY438" s="49" t="s">
        <v>55</v>
      </c>
      <c r="CZ438" s="49">
        <v>0</v>
      </c>
      <c r="DA438" s="49">
        <v>0</v>
      </c>
      <c r="DB438" s="64">
        <v>130510</v>
      </c>
      <c r="DC438" s="58">
        <v>19.322738208062987</v>
      </c>
      <c r="DD438" s="58">
        <v>2.0631333381934827</v>
      </c>
      <c r="DE438" s="58">
        <v>60.461471167164838</v>
      </c>
      <c r="DF438" s="58">
        <v>16.822191441277248</v>
      </c>
      <c r="DG438" s="58">
        <v>1.3304658453014429</v>
      </c>
      <c r="DH438" s="58">
        <v>80.677261791937013</v>
      </c>
      <c r="DI438" s="45" t="s">
        <v>35</v>
      </c>
      <c r="DJ438" s="59" t="str">
        <f t="shared" si="216"/>
        <v>Latino</v>
      </c>
      <c r="DK438" s="65">
        <v>17944</v>
      </c>
      <c r="DL438" s="58">
        <v>48.5</v>
      </c>
      <c r="DM438" s="58">
        <v>26.900000000000002</v>
      </c>
      <c r="DN438" s="58">
        <v>12.02</v>
      </c>
      <c r="DO438" s="58">
        <v>87.929999999999993</v>
      </c>
      <c r="DP438" s="66">
        <v>49.8</v>
      </c>
      <c r="DQ438" s="67">
        <v>52519</v>
      </c>
      <c r="DR438" s="53">
        <v>22.1</v>
      </c>
      <c r="DS438" s="58">
        <v>67.400000000000006</v>
      </c>
      <c r="DT438" s="53">
        <v>45.4</v>
      </c>
      <c r="DU438" s="55">
        <v>4.3899999999999997</v>
      </c>
      <c r="DV438" s="50">
        <v>29.7</v>
      </c>
      <c r="DW438" s="53">
        <v>54.1</v>
      </c>
      <c r="DX438" s="53">
        <v>91.67</v>
      </c>
      <c r="DY438" s="53">
        <v>63.8489</v>
      </c>
      <c r="DZ438" s="63"/>
    </row>
    <row r="439" spans="1:130" s="5" customFormat="1" ht="14.25" hidden="1" customHeight="1">
      <c r="A439" s="45">
        <v>1377</v>
      </c>
      <c r="B439" s="46" t="s">
        <v>357</v>
      </c>
      <c r="C439" s="47">
        <v>2014</v>
      </c>
      <c r="D439" s="47" t="s">
        <v>362</v>
      </c>
      <c r="E439" s="46" t="s">
        <v>363</v>
      </c>
      <c r="F439" s="46">
        <v>4</v>
      </c>
      <c r="G439" s="48">
        <v>15000</v>
      </c>
      <c r="H439" s="46" t="s">
        <v>332</v>
      </c>
      <c r="I439" s="46">
        <v>1</v>
      </c>
      <c r="J439" s="46">
        <v>2</v>
      </c>
      <c r="K439" s="49" t="s">
        <v>364</v>
      </c>
      <c r="L439" s="49" t="s">
        <v>30</v>
      </c>
      <c r="M439" s="49" t="s">
        <v>29</v>
      </c>
      <c r="N439" s="49" t="s">
        <v>513</v>
      </c>
      <c r="O439" s="49">
        <v>2006</v>
      </c>
      <c r="P439" s="49" t="s">
        <v>857</v>
      </c>
      <c r="Q439" s="49" t="s">
        <v>35</v>
      </c>
      <c r="R439" s="49">
        <v>0</v>
      </c>
      <c r="S439" s="50">
        <f t="shared" si="206"/>
        <v>0</v>
      </c>
      <c r="T439" s="49">
        <v>2</v>
      </c>
      <c r="U439" s="50">
        <f t="shared" si="207"/>
        <v>100</v>
      </c>
      <c r="V439" s="49" t="s">
        <v>794</v>
      </c>
      <c r="W439" s="49">
        <v>0</v>
      </c>
      <c r="X439" s="50">
        <f t="shared" si="208"/>
        <v>0</v>
      </c>
      <c r="Y439" s="51" t="str">
        <f t="shared" si="209"/>
        <v>No</v>
      </c>
      <c r="Z439" s="49" t="s">
        <v>29</v>
      </c>
      <c r="AA439" s="49" t="s">
        <v>35</v>
      </c>
      <c r="AB439" s="49" t="s">
        <v>29</v>
      </c>
      <c r="AC439" s="46" t="s">
        <v>26</v>
      </c>
      <c r="AD439" s="46" t="s">
        <v>27</v>
      </c>
      <c r="AE439" s="46" t="s">
        <v>73</v>
      </c>
      <c r="AF439" s="46" t="s">
        <v>29</v>
      </c>
      <c r="AG439" s="107">
        <v>36735</v>
      </c>
      <c r="AH439" s="70">
        <f>SUM(16776+14412)</f>
        <v>31188</v>
      </c>
      <c r="AI439" s="70">
        <f>SUM(16776+14412)</f>
        <v>31188</v>
      </c>
      <c r="AJ439" s="102">
        <v>53.8</v>
      </c>
      <c r="AK439" s="104">
        <v>107.6</v>
      </c>
      <c r="AL439" s="102">
        <v>53.8</v>
      </c>
      <c r="AM439" s="102"/>
      <c r="AN439" s="53">
        <f t="shared" si="210"/>
        <v>107.6</v>
      </c>
      <c r="AO439" s="53">
        <v>46.2</v>
      </c>
      <c r="AP439" s="102">
        <v>5547</v>
      </c>
      <c r="AQ439" s="102">
        <v>15.100040832993059</v>
      </c>
      <c r="AR439" s="50"/>
      <c r="AS439" s="50"/>
      <c r="AT439" s="102"/>
      <c r="AU439" s="102"/>
      <c r="AV439" s="102"/>
      <c r="AW439" s="102"/>
      <c r="AX439" s="50"/>
      <c r="AY439" s="50"/>
      <c r="AZ439" s="102"/>
      <c r="BA439" s="102"/>
      <c r="BB439" s="102"/>
      <c r="BC439" s="102"/>
      <c r="BD439" s="50"/>
      <c r="BE439" s="50"/>
      <c r="BF439" s="50"/>
      <c r="BG439" s="50"/>
      <c r="BH439" s="102"/>
      <c r="BI439" s="102"/>
      <c r="BJ439" s="102"/>
      <c r="BK439" s="102"/>
      <c r="BL439" s="102"/>
      <c r="BM439" s="102"/>
      <c r="BN439" s="102"/>
      <c r="BO439" s="50"/>
      <c r="BP439" s="50"/>
      <c r="BQ439" s="50"/>
      <c r="BR439" s="102"/>
      <c r="BS439" s="54" t="s">
        <v>23</v>
      </c>
      <c r="BT439" s="45" t="str">
        <f t="shared" si="219"/>
        <v>Yes</v>
      </c>
      <c r="BU439" s="45" t="str">
        <f t="shared" si="220"/>
        <v>Yes</v>
      </c>
      <c r="BV439" s="45" t="str">
        <f t="shared" si="221"/>
        <v>No</v>
      </c>
      <c r="BW439" s="55">
        <f t="shared" si="222"/>
        <v>70.854604521646891</v>
      </c>
      <c r="BX439" s="55"/>
      <c r="BY439" s="55">
        <v>68.924604521646899</v>
      </c>
      <c r="BZ439" s="55"/>
      <c r="CA439" s="45">
        <v>2012</v>
      </c>
      <c r="CB439" s="55">
        <f t="shared" si="214"/>
        <v>23.897019385487702</v>
      </c>
      <c r="CC439" s="46" t="s">
        <v>355</v>
      </c>
      <c r="CD439" s="46" t="s">
        <v>179</v>
      </c>
      <c r="CE439" s="46" t="s">
        <v>179</v>
      </c>
      <c r="CF439" s="46">
        <v>1</v>
      </c>
      <c r="CG439" s="46" t="str">
        <f t="shared" si="215"/>
        <v>No</v>
      </c>
      <c r="CH439" s="46" t="s">
        <v>35</v>
      </c>
      <c r="CI439" s="56">
        <v>0</v>
      </c>
      <c r="CJ439" s="46">
        <v>20</v>
      </c>
      <c r="CK439" s="46" t="s">
        <v>23</v>
      </c>
      <c r="CL439" s="49" t="s">
        <v>29</v>
      </c>
      <c r="CM439" s="50">
        <v>0</v>
      </c>
      <c r="CN439" s="50"/>
      <c r="CO439" s="50"/>
      <c r="CP439" s="46" t="s">
        <v>35</v>
      </c>
      <c r="CQ439" s="46" t="s">
        <v>24</v>
      </c>
      <c r="CR439" s="46">
        <v>7</v>
      </c>
      <c r="CS439" s="46" t="s">
        <v>854</v>
      </c>
      <c r="CT439" s="46" t="s">
        <v>53</v>
      </c>
      <c r="CU439" s="46" t="s">
        <v>29</v>
      </c>
      <c r="CV439" s="46" t="s">
        <v>23</v>
      </c>
      <c r="CW439" s="46" t="s">
        <v>23</v>
      </c>
      <c r="CX439" s="49" t="s">
        <v>560</v>
      </c>
      <c r="CY439" s="49" t="s">
        <v>55</v>
      </c>
      <c r="CZ439" s="49">
        <v>0</v>
      </c>
      <c r="DA439" s="49">
        <v>0</v>
      </c>
      <c r="DB439" s="64">
        <v>130510</v>
      </c>
      <c r="DC439" s="58">
        <v>19.322738208062987</v>
      </c>
      <c r="DD439" s="58">
        <v>2.0631333381934827</v>
      </c>
      <c r="DE439" s="58">
        <v>60.461471167164838</v>
      </c>
      <c r="DF439" s="58">
        <v>16.822191441277248</v>
      </c>
      <c r="DG439" s="58">
        <v>1.3304658453014429</v>
      </c>
      <c r="DH439" s="58">
        <v>80.677261791937013</v>
      </c>
      <c r="DI439" s="45" t="s">
        <v>35</v>
      </c>
      <c r="DJ439" s="59" t="str">
        <f t="shared" si="216"/>
        <v>Latino</v>
      </c>
      <c r="DK439" s="65">
        <v>22686</v>
      </c>
      <c r="DL439" s="58">
        <v>60.980000000000004</v>
      </c>
      <c r="DM439" s="58">
        <v>15.129999999999999</v>
      </c>
      <c r="DN439" s="58">
        <v>8.16</v>
      </c>
      <c r="DO439" s="58">
        <v>96.16</v>
      </c>
      <c r="DP439" s="66">
        <v>49.8</v>
      </c>
      <c r="DQ439" s="67">
        <v>52519</v>
      </c>
      <c r="DR439" s="53">
        <v>22.1</v>
      </c>
      <c r="DS439" s="58">
        <v>67.400000000000006</v>
      </c>
      <c r="DT439" s="53">
        <v>45.4</v>
      </c>
      <c r="DU439" s="55">
        <v>4.3899999999999997</v>
      </c>
      <c r="DV439" s="50">
        <v>29.7</v>
      </c>
      <c r="DW439" s="53">
        <v>54.1</v>
      </c>
      <c r="DX439" s="53">
        <v>91.67</v>
      </c>
      <c r="DY439" s="53">
        <v>63.8489</v>
      </c>
      <c r="DZ439" s="63"/>
    </row>
    <row r="440" spans="1:130" s="5" customFormat="1" ht="14.25" hidden="1" customHeight="1">
      <c r="A440" s="45">
        <v>1378</v>
      </c>
      <c r="B440" s="46" t="s">
        <v>357</v>
      </c>
      <c r="C440" s="47">
        <v>2014</v>
      </c>
      <c r="D440" s="47" t="s">
        <v>365</v>
      </c>
      <c r="E440" s="46" t="s">
        <v>366</v>
      </c>
      <c r="F440" s="46">
        <v>4</v>
      </c>
      <c r="G440" s="48">
        <v>15000</v>
      </c>
      <c r="H440" s="46" t="s">
        <v>332</v>
      </c>
      <c r="I440" s="46">
        <v>1</v>
      </c>
      <c r="J440" s="46">
        <v>2</v>
      </c>
      <c r="K440" s="49" t="s">
        <v>367</v>
      </c>
      <c r="L440" s="49" t="s">
        <v>30</v>
      </c>
      <c r="M440" s="49" t="s">
        <v>29</v>
      </c>
      <c r="N440" s="49" t="s">
        <v>513</v>
      </c>
      <c r="O440" s="49">
        <v>2006</v>
      </c>
      <c r="P440" s="49" t="s">
        <v>857</v>
      </c>
      <c r="Q440" s="49" t="s">
        <v>35</v>
      </c>
      <c r="R440" s="49">
        <v>0</v>
      </c>
      <c r="S440" s="50">
        <f t="shared" si="206"/>
        <v>0</v>
      </c>
      <c r="T440" s="49">
        <v>2</v>
      </c>
      <c r="U440" s="50">
        <f t="shared" si="207"/>
        <v>100</v>
      </c>
      <c r="V440" s="49" t="s">
        <v>794</v>
      </c>
      <c r="W440" s="49">
        <v>0</v>
      </c>
      <c r="X440" s="50">
        <f t="shared" si="208"/>
        <v>0</v>
      </c>
      <c r="Y440" s="51" t="str">
        <f t="shared" si="209"/>
        <v>No</v>
      </c>
      <c r="Z440" s="49" t="s">
        <v>29</v>
      </c>
      <c r="AA440" s="49" t="s">
        <v>35</v>
      </c>
      <c r="AB440" s="49" t="s">
        <v>29</v>
      </c>
      <c r="AC440" s="46" t="s">
        <v>26</v>
      </c>
      <c r="AD440" s="46" t="s">
        <v>27</v>
      </c>
      <c r="AE440" s="46" t="s">
        <v>73</v>
      </c>
      <c r="AF440" s="46" t="s">
        <v>29</v>
      </c>
      <c r="AG440" s="107">
        <v>36735</v>
      </c>
      <c r="AH440" s="70">
        <f>SUM(19820+11620)</f>
        <v>31440</v>
      </c>
      <c r="AI440" s="70">
        <f>SUM(19820+11620)</f>
        <v>31440</v>
      </c>
      <c r="AJ440" s="102">
        <v>63</v>
      </c>
      <c r="AK440" s="104">
        <v>126</v>
      </c>
      <c r="AL440" s="102">
        <v>63</v>
      </c>
      <c r="AM440" s="102"/>
      <c r="AN440" s="53">
        <f t="shared" si="210"/>
        <v>126</v>
      </c>
      <c r="AO440" s="53">
        <v>37</v>
      </c>
      <c r="AP440" s="102">
        <v>5295</v>
      </c>
      <c r="AQ440" s="102">
        <v>14.414046549612086</v>
      </c>
      <c r="AR440" s="50"/>
      <c r="AS440" s="50"/>
      <c r="AT440" s="102"/>
      <c r="AU440" s="102"/>
      <c r="AV440" s="50"/>
      <c r="AW440" s="50"/>
      <c r="AX440" s="50"/>
      <c r="AY440" s="50"/>
      <c r="AZ440" s="102"/>
      <c r="BA440" s="102"/>
      <c r="BB440" s="102"/>
      <c r="BC440" s="102"/>
      <c r="BD440" s="50"/>
      <c r="BE440" s="50"/>
      <c r="BF440" s="50"/>
      <c r="BG440" s="50"/>
      <c r="BH440" s="102"/>
      <c r="BI440" s="102"/>
      <c r="BJ440" s="50"/>
      <c r="BK440" s="50"/>
      <c r="BL440" s="50"/>
      <c r="BM440" s="50"/>
      <c r="BN440" s="102"/>
      <c r="BO440" s="50"/>
      <c r="BP440" s="50"/>
      <c r="BQ440" s="50"/>
      <c r="BR440" s="102"/>
      <c r="BS440" s="54" t="s">
        <v>23</v>
      </c>
      <c r="BT440" s="45" t="str">
        <f t="shared" si="219"/>
        <v>Yes</v>
      </c>
      <c r="BU440" s="45" t="str">
        <f t="shared" si="220"/>
        <v>No</v>
      </c>
      <c r="BV440" s="45" t="str">
        <f t="shared" si="221"/>
        <v>No</v>
      </c>
      <c r="BW440" s="55">
        <f t="shared" si="222"/>
        <v>70.854604521646891</v>
      </c>
      <c r="BX440" s="55"/>
      <c r="BY440" s="55">
        <v>68.924604521646899</v>
      </c>
      <c r="BZ440" s="55"/>
      <c r="CA440" s="45">
        <v>2012</v>
      </c>
      <c r="CB440" s="55">
        <f t="shared" si="214"/>
        <v>24.090108037698261</v>
      </c>
      <c r="CC440" s="46" t="s">
        <v>355</v>
      </c>
      <c r="CD440" s="46" t="s">
        <v>179</v>
      </c>
      <c r="CE440" s="46" t="s">
        <v>179</v>
      </c>
      <c r="CF440" s="46">
        <v>1</v>
      </c>
      <c r="CG440" s="46" t="str">
        <f t="shared" si="215"/>
        <v>No</v>
      </c>
      <c r="CH440" s="46" t="s">
        <v>35</v>
      </c>
      <c r="CI440" s="56">
        <v>0</v>
      </c>
      <c r="CJ440" s="46">
        <v>20</v>
      </c>
      <c r="CK440" s="46" t="s">
        <v>23</v>
      </c>
      <c r="CL440" s="49" t="s">
        <v>29</v>
      </c>
      <c r="CM440" s="50">
        <v>0</v>
      </c>
      <c r="CN440" s="50"/>
      <c r="CO440" s="50"/>
      <c r="CP440" s="46" t="s">
        <v>35</v>
      </c>
      <c r="CQ440" s="46" t="s">
        <v>24</v>
      </c>
      <c r="CR440" s="46">
        <v>7</v>
      </c>
      <c r="CS440" s="46" t="s">
        <v>854</v>
      </c>
      <c r="CT440" s="46" t="s">
        <v>53</v>
      </c>
      <c r="CU440" s="46" t="s">
        <v>29</v>
      </c>
      <c r="CV440" s="46" t="s">
        <v>23</v>
      </c>
      <c r="CW440" s="46" t="s">
        <v>23</v>
      </c>
      <c r="CX440" s="49" t="s">
        <v>560</v>
      </c>
      <c r="CY440" s="49" t="s">
        <v>55</v>
      </c>
      <c r="CZ440" s="49">
        <v>0</v>
      </c>
      <c r="DA440" s="49">
        <v>0</v>
      </c>
      <c r="DB440" s="64">
        <v>130510</v>
      </c>
      <c r="DC440" s="58">
        <v>19.322738208062987</v>
      </c>
      <c r="DD440" s="58">
        <v>2.0631333381934827</v>
      </c>
      <c r="DE440" s="58">
        <v>60.461471167164838</v>
      </c>
      <c r="DF440" s="58">
        <v>16.822191441277248</v>
      </c>
      <c r="DG440" s="58">
        <v>1.3304658453014429</v>
      </c>
      <c r="DH440" s="58">
        <v>80.677261791937013</v>
      </c>
      <c r="DI440" s="45" t="s">
        <v>35</v>
      </c>
      <c r="DJ440" s="59" t="str">
        <f t="shared" si="216"/>
        <v>Latino</v>
      </c>
      <c r="DK440" s="65">
        <v>23227</v>
      </c>
      <c r="DL440" s="58">
        <v>53.510000000000005</v>
      </c>
      <c r="DM440" s="58">
        <v>3.51</v>
      </c>
      <c r="DN440" s="58">
        <v>10.82</v>
      </c>
      <c r="DO440" s="58">
        <v>82.35</v>
      </c>
      <c r="DP440" s="66">
        <v>49.8</v>
      </c>
      <c r="DQ440" s="67">
        <v>52519</v>
      </c>
      <c r="DR440" s="53">
        <v>22.1</v>
      </c>
      <c r="DS440" s="58">
        <v>67.400000000000006</v>
      </c>
      <c r="DT440" s="53">
        <v>45.4</v>
      </c>
      <c r="DU440" s="55">
        <v>4.3899999999999997</v>
      </c>
      <c r="DV440" s="50">
        <v>29.7</v>
      </c>
      <c r="DW440" s="53">
        <v>54.1</v>
      </c>
      <c r="DX440" s="53">
        <v>91.67</v>
      </c>
      <c r="DY440" s="53">
        <v>63.8489</v>
      </c>
      <c r="DZ440" s="63"/>
    </row>
    <row r="441" spans="1:130" s="5" customFormat="1" ht="14.25" hidden="1" customHeight="1">
      <c r="A441" s="45">
        <v>1375</v>
      </c>
      <c r="B441" s="46" t="s">
        <v>357</v>
      </c>
      <c r="C441" s="47">
        <v>2014</v>
      </c>
      <c r="D441" s="47" t="s">
        <v>38</v>
      </c>
      <c r="E441" s="46" t="s">
        <v>22</v>
      </c>
      <c r="F441" s="46">
        <v>2</v>
      </c>
      <c r="G441" s="48">
        <v>17000</v>
      </c>
      <c r="H441" s="46" t="s">
        <v>332</v>
      </c>
      <c r="I441" s="46">
        <v>1</v>
      </c>
      <c r="J441" s="46">
        <v>4</v>
      </c>
      <c r="K441" s="49" t="s">
        <v>358</v>
      </c>
      <c r="L441" s="49" t="s">
        <v>30</v>
      </c>
      <c r="M441" s="49" t="s">
        <v>29</v>
      </c>
      <c r="N441" s="49" t="s">
        <v>513</v>
      </c>
      <c r="O441" s="49">
        <v>2000</v>
      </c>
      <c r="P441" s="49" t="s">
        <v>857</v>
      </c>
      <c r="Q441" s="49" t="s">
        <v>35</v>
      </c>
      <c r="R441" s="49">
        <v>1</v>
      </c>
      <c r="S441" s="50">
        <f t="shared" si="206"/>
        <v>25</v>
      </c>
      <c r="T441" s="49">
        <v>3</v>
      </c>
      <c r="U441" s="50">
        <f t="shared" si="207"/>
        <v>75</v>
      </c>
      <c r="V441" s="49" t="s">
        <v>791</v>
      </c>
      <c r="W441" s="49">
        <v>1</v>
      </c>
      <c r="X441" s="50">
        <f t="shared" si="208"/>
        <v>25</v>
      </c>
      <c r="Y441" s="51" t="str">
        <f t="shared" si="209"/>
        <v>No</v>
      </c>
      <c r="Z441" s="49" t="s">
        <v>29</v>
      </c>
      <c r="AA441" s="49" t="s">
        <v>35</v>
      </c>
      <c r="AB441" s="49" t="s">
        <v>29</v>
      </c>
      <c r="AC441" s="46" t="s">
        <v>26</v>
      </c>
      <c r="AD441" s="46" t="s">
        <v>27</v>
      </c>
      <c r="AE441" s="46" t="s">
        <v>73</v>
      </c>
      <c r="AF441" s="46" t="s">
        <v>29</v>
      </c>
      <c r="AG441" s="107">
        <v>36735</v>
      </c>
      <c r="AH441" s="70">
        <f>SUM(16608+11477+5000+85)</f>
        <v>33170</v>
      </c>
      <c r="AI441" s="70">
        <f>SUM(16608+11477+5000+85)</f>
        <v>33170</v>
      </c>
      <c r="AJ441" s="102">
        <v>50.1</v>
      </c>
      <c r="AK441" s="104">
        <v>100.2</v>
      </c>
      <c r="AL441" s="102">
        <v>50.1</v>
      </c>
      <c r="AM441" s="102"/>
      <c r="AN441" s="53">
        <f t="shared" si="210"/>
        <v>100.2</v>
      </c>
      <c r="AO441" s="53">
        <v>34.6</v>
      </c>
      <c r="AP441" s="102">
        <v>3565</v>
      </c>
      <c r="AQ441" s="102">
        <v>9.7046413502109701</v>
      </c>
      <c r="AR441" s="102"/>
      <c r="AS441" s="102"/>
      <c r="AT441" s="102"/>
      <c r="AU441" s="102"/>
      <c r="AV441" s="50"/>
      <c r="AW441" s="50"/>
      <c r="AX441" s="102"/>
      <c r="AY441" s="102"/>
      <c r="AZ441" s="102"/>
      <c r="BA441" s="102"/>
      <c r="BB441" s="102"/>
      <c r="BC441" s="102"/>
      <c r="BD441" s="102"/>
      <c r="BE441" s="102"/>
      <c r="BF441" s="102"/>
      <c r="BG441" s="102"/>
      <c r="BH441" s="102"/>
      <c r="BI441" s="102"/>
      <c r="BJ441" s="50"/>
      <c r="BK441" s="50"/>
      <c r="BL441" s="50"/>
      <c r="BM441" s="50"/>
      <c r="BN441" s="102"/>
      <c r="BO441" s="102"/>
      <c r="BP441" s="102"/>
      <c r="BQ441" s="102"/>
      <c r="BR441" s="102"/>
      <c r="BS441" s="54" t="s">
        <v>23</v>
      </c>
      <c r="BT441" s="45" t="str">
        <f t="shared" si="219"/>
        <v>Yes</v>
      </c>
      <c r="BU441" s="45" t="str">
        <f t="shared" si="220"/>
        <v>Yes</v>
      </c>
      <c r="BV441" s="45" t="str">
        <f t="shared" si="221"/>
        <v>No</v>
      </c>
      <c r="BW441" s="55">
        <f t="shared" si="222"/>
        <v>70.854604521646891</v>
      </c>
      <c r="BX441" s="55">
        <f>(42748/(42748+17584))*100</f>
        <v>70.854604521646891</v>
      </c>
      <c r="BY441" s="55">
        <v>68.924604521646899</v>
      </c>
      <c r="BZ441" s="55">
        <f>BX441-(0.0386*100/2)</f>
        <v>68.924604521646884</v>
      </c>
      <c r="CA441" s="45">
        <v>2012</v>
      </c>
      <c r="CB441" s="55">
        <f t="shared" si="214"/>
        <v>25.415676959619955</v>
      </c>
      <c r="CC441" s="46" t="s">
        <v>39</v>
      </c>
      <c r="CD441" s="46" t="s">
        <v>179</v>
      </c>
      <c r="CE441" s="46" t="s">
        <v>179</v>
      </c>
      <c r="CF441" s="46">
        <v>1</v>
      </c>
      <c r="CG441" s="46" t="str">
        <f t="shared" si="215"/>
        <v>No</v>
      </c>
      <c r="CH441" s="46" t="s">
        <v>35</v>
      </c>
      <c r="CI441" s="56">
        <v>0</v>
      </c>
      <c r="CJ441" s="46">
        <v>20</v>
      </c>
      <c r="CK441" s="46" t="s">
        <v>23</v>
      </c>
      <c r="CL441" s="49" t="s">
        <v>29</v>
      </c>
      <c r="CM441" s="50">
        <v>0</v>
      </c>
      <c r="CN441" s="50"/>
      <c r="CO441" s="50"/>
      <c r="CP441" s="46" t="s">
        <v>23</v>
      </c>
      <c r="CQ441" s="46" t="s">
        <v>23</v>
      </c>
      <c r="CR441" s="46">
        <v>7</v>
      </c>
      <c r="CS441" s="46" t="s">
        <v>854</v>
      </c>
      <c r="CT441" s="46" t="s">
        <v>53</v>
      </c>
      <c r="CU441" s="46" t="s">
        <v>29</v>
      </c>
      <c r="CV441" s="46" t="s">
        <v>23</v>
      </c>
      <c r="CW441" s="46" t="s">
        <v>23</v>
      </c>
      <c r="CX441" s="49" t="s">
        <v>560</v>
      </c>
      <c r="CY441" s="49" t="s">
        <v>55</v>
      </c>
      <c r="CZ441" s="49">
        <v>0</v>
      </c>
      <c r="DA441" s="49">
        <v>0</v>
      </c>
      <c r="DB441" s="64">
        <v>130510</v>
      </c>
      <c r="DC441" s="58">
        <v>19.322738208062987</v>
      </c>
      <c r="DD441" s="58">
        <v>2.0631333381934827</v>
      </c>
      <c r="DE441" s="58">
        <v>60.461471167164838</v>
      </c>
      <c r="DF441" s="58">
        <v>16.822191441277248</v>
      </c>
      <c r="DG441" s="58">
        <v>1.3304658453014429</v>
      </c>
      <c r="DH441" s="58">
        <v>80.677261791937013</v>
      </c>
      <c r="DI441" s="45" t="s">
        <v>35</v>
      </c>
      <c r="DJ441" s="59" t="str">
        <f t="shared" si="216"/>
        <v>Latino</v>
      </c>
      <c r="DK441" s="65">
        <v>130510</v>
      </c>
      <c r="DL441" s="58">
        <v>19.322738208062987</v>
      </c>
      <c r="DM441" s="58">
        <v>2.0631333381934827</v>
      </c>
      <c r="DN441" s="58">
        <v>60.461471167164838</v>
      </c>
      <c r="DO441" s="58">
        <v>80.677261791937013</v>
      </c>
      <c r="DP441" s="66">
        <v>49.8</v>
      </c>
      <c r="DQ441" s="67">
        <v>52519</v>
      </c>
      <c r="DR441" s="53">
        <v>22.1</v>
      </c>
      <c r="DS441" s="58">
        <v>67.400000000000006</v>
      </c>
      <c r="DT441" s="53">
        <v>45.4</v>
      </c>
      <c r="DU441" s="55">
        <v>4.3899999999999997</v>
      </c>
      <c r="DV441" s="50">
        <v>29.7</v>
      </c>
      <c r="DW441" s="53">
        <v>54.1</v>
      </c>
      <c r="DX441" s="53">
        <v>91.67</v>
      </c>
      <c r="DY441" s="53">
        <v>63.8489</v>
      </c>
      <c r="DZ441" s="63"/>
    </row>
    <row r="442" spans="1:130" s="5" customFormat="1" ht="14.25" hidden="1" customHeight="1">
      <c r="A442" s="45">
        <v>1432</v>
      </c>
      <c r="B442" s="46" t="s">
        <v>384</v>
      </c>
      <c r="C442" s="47">
        <v>2000</v>
      </c>
      <c r="D442" s="47" t="s">
        <v>390</v>
      </c>
      <c r="E442" s="46" t="s">
        <v>22</v>
      </c>
      <c r="F442" s="46">
        <v>4</v>
      </c>
      <c r="G442" s="48">
        <v>11000</v>
      </c>
      <c r="H442" s="46" t="s">
        <v>332</v>
      </c>
      <c r="I442" s="46">
        <v>1</v>
      </c>
      <c r="J442" s="46">
        <v>1</v>
      </c>
      <c r="K442" s="49" t="s">
        <v>403</v>
      </c>
      <c r="L442" s="49" t="s">
        <v>40</v>
      </c>
      <c r="M442" s="49" t="s">
        <v>35</v>
      </c>
      <c r="N442" s="49" t="s">
        <v>513</v>
      </c>
      <c r="O442" s="49"/>
      <c r="P442" s="49" t="s">
        <v>31</v>
      </c>
      <c r="Q442" s="49" t="s">
        <v>29</v>
      </c>
      <c r="R442" s="49">
        <v>1</v>
      </c>
      <c r="S442" s="50">
        <f t="shared" ref="S442:S473" si="223">(R442/J442)*100</f>
        <v>100</v>
      </c>
      <c r="T442" s="49">
        <v>0</v>
      </c>
      <c r="U442" s="50">
        <f t="shared" ref="U442:U473" si="224">(T442/J442)*100</f>
        <v>0</v>
      </c>
      <c r="V442" s="45"/>
      <c r="W442" s="49">
        <v>0</v>
      </c>
      <c r="X442" s="50">
        <f t="shared" ref="X442:X473" si="225">(W442/J442)*100</f>
        <v>0</v>
      </c>
      <c r="Y442" s="51" t="str">
        <f t="shared" ref="Y442:Y473" si="226">IF(L442="M","No", IF(P442="n/a","No",IF(P442="white","No","Yes")))</f>
        <v>No</v>
      </c>
      <c r="Z442" s="45" t="s">
        <v>29</v>
      </c>
      <c r="AA442" s="49" t="s">
        <v>29</v>
      </c>
      <c r="AB442" s="45" t="s">
        <v>35</v>
      </c>
      <c r="AC442" s="46" t="s">
        <v>26</v>
      </c>
      <c r="AD442" s="46" t="s">
        <v>27</v>
      </c>
      <c r="AE442" s="46" t="s">
        <v>89</v>
      </c>
      <c r="AF442" s="46" t="s">
        <v>29</v>
      </c>
      <c r="AG442" s="103"/>
      <c r="AH442" s="52">
        <v>20884</v>
      </c>
      <c r="AI442" s="52">
        <v>20884</v>
      </c>
      <c r="AJ442" s="102">
        <v>100</v>
      </c>
      <c r="AK442" s="104">
        <v>200</v>
      </c>
      <c r="AL442" s="102">
        <v>100</v>
      </c>
      <c r="AM442" s="102"/>
      <c r="AN442" s="53">
        <f t="shared" ref="AN442:AN473" si="227">AL442/(1/(I442+1))</f>
        <v>200</v>
      </c>
      <c r="AO442" s="53" t="s">
        <v>23</v>
      </c>
      <c r="AP442" s="102"/>
      <c r="AQ442" s="102"/>
      <c r="AR442" s="102"/>
      <c r="AS442" s="102"/>
      <c r="AT442" s="102"/>
      <c r="AU442" s="102"/>
      <c r="AV442" s="50"/>
      <c r="AW442" s="50"/>
      <c r="AX442" s="102"/>
      <c r="AY442" s="102"/>
      <c r="AZ442" s="102"/>
      <c r="BA442" s="102"/>
      <c r="BB442" s="102"/>
      <c r="BC442" s="102"/>
      <c r="BD442" s="102"/>
      <c r="BE442" s="102"/>
      <c r="BF442" s="102"/>
      <c r="BG442" s="102"/>
      <c r="BH442" s="102"/>
      <c r="BI442" s="102"/>
      <c r="BJ442" s="50"/>
      <c r="BK442" s="50"/>
      <c r="BL442" s="50"/>
      <c r="BM442" s="50"/>
      <c r="BN442" s="102"/>
      <c r="BO442" s="102"/>
      <c r="BP442" s="102"/>
      <c r="BQ442" s="102"/>
      <c r="BR442" s="102"/>
      <c r="BS442" s="54" t="s">
        <v>23</v>
      </c>
      <c r="BT442" s="45" t="str">
        <f t="shared" si="219"/>
        <v>No</v>
      </c>
      <c r="BU442" s="45" t="str">
        <f t="shared" si="220"/>
        <v>No</v>
      </c>
      <c r="BV442" s="45" t="str">
        <f t="shared" si="221"/>
        <v>No</v>
      </c>
      <c r="BW442" s="55">
        <f t="shared" ref="BW442:BX448" si="228">(20077/(20077+10406))*100</f>
        <v>65.862939999343894</v>
      </c>
      <c r="BX442" s="55">
        <f t="shared" si="228"/>
        <v>65.862939999343894</v>
      </c>
      <c r="BY442" s="55">
        <v>65.607939999343884</v>
      </c>
      <c r="BZ442" s="55">
        <f t="shared" ref="BZ442:BZ448" si="229">BX442-(0.0051*100/2)</f>
        <v>65.607939999343898</v>
      </c>
      <c r="CA442" s="45">
        <v>2000</v>
      </c>
      <c r="CB442" s="55">
        <f t="shared" ref="CB442:CB473" si="230">((AI442/I442)/DB442)*100</f>
        <v>33.927382016083179</v>
      </c>
      <c r="CC442" s="46" t="s">
        <v>355</v>
      </c>
      <c r="CD442" s="46" t="s">
        <v>179</v>
      </c>
      <c r="CE442" s="46" t="s">
        <v>179</v>
      </c>
      <c r="CF442" s="46">
        <v>1</v>
      </c>
      <c r="CG442" s="46" t="str">
        <f t="shared" ref="CG442:CG473" si="231">IF(CD442="Primary (decisive)", "Yes", "No")</f>
        <v>No</v>
      </c>
      <c r="CH442" s="46" t="s">
        <v>35</v>
      </c>
      <c r="CI442" s="56">
        <v>0</v>
      </c>
      <c r="CJ442" s="46">
        <v>20</v>
      </c>
      <c r="CK442" s="46" t="s">
        <v>23</v>
      </c>
      <c r="CL442" s="49" t="s">
        <v>29</v>
      </c>
      <c r="CM442" s="50">
        <v>0</v>
      </c>
      <c r="CN442" s="50"/>
      <c r="CO442" s="50"/>
      <c r="CP442" s="46" t="s">
        <v>23</v>
      </c>
      <c r="CQ442" s="46" t="s">
        <v>24</v>
      </c>
      <c r="CR442" s="46">
        <v>7</v>
      </c>
      <c r="CS442" s="46" t="s">
        <v>854</v>
      </c>
      <c r="CT442" s="46" t="s">
        <v>53</v>
      </c>
      <c r="CU442" s="46" t="s">
        <v>29</v>
      </c>
      <c r="CV442" s="46" t="s">
        <v>23</v>
      </c>
      <c r="CW442" s="46" t="s">
        <v>23</v>
      </c>
      <c r="CX442" s="49" t="s">
        <v>928</v>
      </c>
      <c r="CY442" s="49" t="s">
        <v>295</v>
      </c>
      <c r="CZ442" s="49">
        <v>0</v>
      </c>
      <c r="DA442" s="49">
        <v>0</v>
      </c>
      <c r="DB442" s="64">
        <v>61555</v>
      </c>
      <c r="DC442" s="58">
        <v>62.250000000000007</v>
      </c>
      <c r="DD442" s="58">
        <v>2.33</v>
      </c>
      <c r="DE442" s="58">
        <v>13.52</v>
      </c>
      <c r="DF442" s="58">
        <v>17.7</v>
      </c>
      <c r="DG442" s="58">
        <v>4.2000000000000037</v>
      </c>
      <c r="DH442" s="58">
        <v>37.749999999999993</v>
      </c>
      <c r="DI442" s="45" t="s">
        <v>29</v>
      </c>
      <c r="DJ442" s="59" t="str">
        <f t="shared" ref="DJ442:DJ473" si="232">IF(DH442&lt;50,"N/A",IF(DD442&gt;50,"African American",IF(DE442&gt;50,"Latino",IF(DF442&gt;50,"Asian","No single majority group"))))</f>
        <v>N/A</v>
      </c>
      <c r="DK442" s="65">
        <v>61555</v>
      </c>
      <c r="DL442" s="58">
        <v>62.250000000000007</v>
      </c>
      <c r="DM442" s="58">
        <v>2.33</v>
      </c>
      <c r="DN442" s="58">
        <v>13.52</v>
      </c>
      <c r="DO442" s="58">
        <v>37.749999999999993</v>
      </c>
      <c r="DP442" s="66">
        <v>49.1</v>
      </c>
      <c r="DQ442" s="67">
        <v>95500.02</v>
      </c>
      <c r="DR442" s="53">
        <v>7.8</v>
      </c>
      <c r="DS442" s="58">
        <v>70.599999999999994</v>
      </c>
      <c r="DT442" s="53">
        <v>46.1</v>
      </c>
      <c r="DU442" s="55">
        <v>2.58</v>
      </c>
      <c r="DV442" s="102">
        <v>33.4</v>
      </c>
      <c r="DW442" s="53">
        <v>86.9</v>
      </c>
      <c r="DX442" s="53">
        <v>64.908199999999994</v>
      </c>
      <c r="DY442" s="53">
        <v>34.784500000000001</v>
      </c>
      <c r="DZ442" s="63"/>
    </row>
    <row r="443" spans="1:130" s="5" customFormat="1" ht="14.25" hidden="1" customHeight="1">
      <c r="A443" s="45">
        <v>1433</v>
      </c>
      <c r="B443" s="46" t="s">
        <v>384</v>
      </c>
      <c r="C443" s="47">
        <v>2000</v>
      </c>
      <c r="D443" s="47" t="s">
        <v>392</v>
      </c>
      <c r="E443" s="46" t="s">
        <v>22</v>
      </c>
      <c r="F443" s="46">
        <v>4</v>
      </c>
      <c r="G443" s="48">
        <v>11000</v>
      </c>
      <c r="H443" s="46" t="s">
        <v>332</v>
      </c>
      <c r="I443" s="46">
        <v>1</v>
      </c>
      <c r="J443" s="46">
        <v>1</v>
      </c>
      <c r="K443" s="49" t="s">
        <v>404</v>
      </c>
      <c r="L443" s="49" t="s">
        <v>30</v>
      </c>
      <c r="M443" s="49" t="s">
        <v>29</v>
      </c>
      <c r="N443" s="49" t="s">
        <v>513</v>
      </c>
      <c r="O443" s="49"/>
      <c r="P443" s="49" t="s">
        <v>31</v>
      </c>
      <c r="Q443" s="49" t="s">
        <v>29</v>
      </c>
      <c r="R443" s="49">
        <v>0</v>
      </c>
      <c r="S443" s="50">
        <f t="shared" si="223"/>
        <v>0</v>
      </c>
      <c r="T443" s="49">
        <v>0</v>
      </c>
      <c r="U443" s="50">
        <f t="shared" si="224"/>
        <v>0</v>
      </c>
      <c r="V443" s="45"/>
      <c r="W443" s="49">
        <v>0</v>
      </c>
      <c r="X443" s="50">
        <f t="shared" si="225"/>
        <v>0</v>
      </c>
      <c r="Y443" s="51" t="str">
        <f t="shared" si="226"/>
        <v>No</v>
      </c>
      <c r="Z443" s="45" t="s">
        <v>29</v>
      </c>
      <c r="AA443" s="49" t="s">
        <v>29</v>
      </c>
      <c r="AB443" s="49" t="s">
        <v>29</v>
      </c>
      <c r="AC443" s="46" t="s">
        <v>26</v>
      </c>
      <c r="AD443" s="46" t="s">
        <v>27</v>
      </c>
      <c r="AE443" s="46" t="s">
        <v>89</v>
      </c>
      <c r="AF443" s="46" t="s">
        <v>29</v>
      </c>
      <c r="AG443" s="103"/>
      <c r="AH443" s="52">
        <v>20572</v>
      </c>
      <c r="AI443" s="52">
        <v>20572</v>
      </c>
      <c r="AJ443" s="102">
        <v>100</v>
      </c>
      <c r="AK443" s="104">
        <v>200</v>
      </c>
      <c r="AL443" s="102">
        <v>100</v>
      </c>
      <c r="AM443" s="102"/>
      <c r="AN443" s="53">
        <f t="shared" si="227"/>
        <v>200</v>
      </c>
      <c r="AO443" s="53" t="s">
        <v>23</v>
      </c>
      <c r="AP443" s="102"/>
      <c r="AQ443" s="102"/>
      <c r="AR443" s="102"/>
      <c r="AS443" s="102"/>
      <c r="AT443" s="102"/>
      <c r="AU443" s="102"/>
      <c r="AV443" s="102"/>
      <c r="AW443" s="102"/>
      <c r="AX443" s="102"/>
      <c r="AY443" s="102"/>
      <c r="AZ443" s="102"/>
      <c r="BA443" s="102"/>
      <c r="BB443" s="102"/>
      <c r="BC443" s="102"/>
      <c r="BD443" s="102"/>
      <c r="BE443" s="102"/>
      <c r="BF443" s="102"/>
      <c r="BG443" s="102"/>
      <c r="BH443" s="102"/>
      <c r="BI443" s="102"/>
      <c r="BJ443" s="102"/>
      <c r="BK443" s="102"/>
      <c r="BL443" s="102"/>
      <c r="BM443" s="102"/>
      <c r="BN443" s="102"/>
      <c r="BO443" s="102"/>
      <c r="BP443" s="102"/>
      <c r="BQ443" s="102"/>
      <c r="BR443" s="102"/>
      <c r="BS443" s="54" t="s">
        <v>23</v>
      </c>
      <c r="BT443" s="45" t="str">
        <f t="shared" si="219"/>
        <v>No</v>
      </c>
      <c r="BU443" s="45" t="str">
        <f t="shared" si="220"/>
        <v>No</v>
      </c>
      <c r="BV443" s="45" t="str">
        <f t="shared" si="221"/>
        <v>No</v>
      </c>
      <c r="BW443" s="55">
        <f t="shared" si="228"/>
        <v>65.862939999343894</v>
      </c>
      <c r="BX443" s="55">
        <f t="shared" si="228"/>
        <v>65.862939999343894</v>
      </c>
      <c r="BY443" s="55">
        <v>65.607939999343884</v>
      </c>
      <c r="BZ443" s="55">
        <f t="shared" si="229"/>
        <v>65.607939999343898</v>
      </c>
      <c r="CA443" s="45">
        <v>2000</v>
      </c>
      <c r="CB443" s="55">
        <f t="shared" si="230"/>
        <v>33.420518235724153</v>
      </c>
      <c r="CC443" s="46" t="s">
        <v>355</v>
      </c>
      <c r="CD443" s="46" t="s">
        <v>179</v>
      </c>
      <c r="CE443" s="46" t="s">
        <v>179</v>
      </c>
      <c r="CF443" s="46">
        <v>1</v>
      </c>
      <c r="CG443" s="46" t="str">
        <f t="shared" si="231"/>
        <v>No</v>
      </c>
      <c r="CH443" s="46" t="s">
        <v>35</v>
      </c>
      <c r="CI443" s="56">
        <v>0</v>
      </c>
      <c r="CJ443" s="46">
        <v>20</v>
      </c>
      <c r="CK443" s="46" t="s">
        <v>23</v>
      </c>
      <c r="CL443" s="49" t="s">
        <v>29</v>
      </c>
      <c r="CM443" s="50">
        <v>0</v>
      </c>
      <c r="CN443" s="50"/>
      <c r="CO443" s="50"/>
      <c r="CP443" s="46" t="s">
        <v>23</v>
      </c>
      <c r="CQ443" s="46" t="s">
        <v>24</v>
      </c>
      <c r="CR443" s="46">
        <v>7</v>
      </c>
      <c r="CS443" s="46" t="s">
        <v>854</v>
      </c>
      <c r="CT443" s="46" t="s">
        <v>53</v>
      </c>
      <c r="CU443" s="46" t="s">
        <v>29</v>
      </c>
      <c r="CV443" s="46" t="s">
        <v>23</v>
      </c>
      <c r="CW443" s="46" t="s">
        <v>23</v>
      </c>
      <c r="CX443" s="49" t="s">
        <v>928</v>
      </c>
      <c r="CY443" s="49" t="s">
        <v>295</v>
      </c>
      <c r="CZ443" s="49">
        <v>0</v>
      </c>
      <c r="DA443" s="49">
        <v>0</v>
      </c>
      <c r="DB443" s="64">
        <v>61555</v>
      </c>
      <c r="DC443" s="58">
        <v>62.250000000000007</v>
      </c>
      <c r="DD443" s="58">
        <v>2.33</v>
      </c>
      <c r="DE443" s="58">
        <v>13.52</v>
      </c>
      <c r="DF443" s="58">
        <v>17.7</v>
      </c>
      <c r="DG443" s="58">
        <v>4.2000000000000037</v>
      </c>
      <c r="DH443" s="58">
        <v>37.749999999999993</v>
      </c>
      <c r="DI443" s="45" t="s">
        <v>29</v>
      </c>
      <c r="DJ443" s="59" t="str">
        <f t="shared" si="232"/>
        <v>N/A</v>
      </c>
      <c r="DK443" s="65">
        <v>61555</v>
      </c>
      <c r="DL443" s="58">
        <v>62.250000000000007</v>
      </c>
      <c r="DM443" s="58">
        <v>2.33</v>
      </c>
      <c r="DN443" s="58">
        <v>13.52</v>
      </c>
      <c r="DO443" s="58">
        <v>37.749999999999993</v>
      </c>
      <c r="DP443" s="66">
        <v>49.1</v>
      </c>
      <c r="DQ443" s="67">
        <v>95500.02</v>
      </c>
      <c r="DR443" s="53">
        <v>7.8</v>
      </c>
      <c r="DS443" s="58">
        <v>70.599999999999994</v>
      </c>
      <c r="DT443" s="53">
        <v>46.1</v>
      </c>
      <c r="DU443" s="55">
        <v>2.58</v>
      </c>
      <c r="DV443" s="102">
        <v>33.4</v>
      </c>
      <c r="DW443" s="53">
        <v>86.9</v>
      </c>
      <c r="DX443" s="53">
        <v>64.908199999999994</v>
      </c>
      <c r="DY443" s="53">
        <v>34.784500000000001</v>
      </c>
      <c r="DZ443" s="63"/>
    </row>
    <row r="444" spans="1:130" s="5" customFormat="1" ht="14.25" hidden="1" customHeight="1">
      <c r="A444" s="45">
        <v>1431</v>
      </c>
      <c r="B444" s="46" t="s">
        <v>384</v>
      </c>
      <c r="C444" s="47">
        <v>2000</v>
      </c>
      <c r="D444" s="47" t="s">
        <v>394</v>
      </c>
      <c r="E444" s="46" t="s">
        <v>22</v>
      </c>
      <c r="F444" s="46">
        <v>4</v>
      </c>
      <c r="G444" s="48">
        <v>11000</v>
      </c>
      <c r="H444" s="46" t="s">
        <v>332</v>
      </c>
      <c r="I444" s="46">
        <v>1</v>
      </c>
      <c r="J444" s="46">
        <v>4</v>
      </c>
      <c r="K444" s="49" t="s">
        <v>386</v>
      </c>
      <c r="L444" s="49" t="s">
        <v>30</v>
      </c>
      <c r="M444" s="49" t="s">
        <v>29</v>
      </c>
      <c r="N444" s="49" t="s">
        <v>512</v>
      </c>
      <c r="O444" s="49"/>
      <c r="P444" s="49" t="s">
        <v>31</v>
      </c>
      <c r="Q444" s="49" t="s">
        <v>29</v>
      </c>
      <c r="R444" s="49">
        <v>0</v>
      </c>
      <c r="S444" s="50">
        <f t="shared" si="223"/>
        <v>0</v>
      </c>
      <c r="T444" s="49">
        <v>0</v>
      </c>
      <c r="U444" s="50">
        <f t="shared" si="224"/>
        <v>0</v>
      </c>
      <c r="V444" s="45"/>
      <c r="W444" s="49">
        <v>0</v>
      </c>
      <c r="X444" s="50">
        <f t="shared" si="225"/>
        <v>0</v>
      </c>
      <c r="Y444" s="51" t="str">
        <f t="shared" si="226"/>
        <v>No</v>
      </c>
      <c r="Z444" s="45" t="s">
        <v>35</v>
      </c>
      <c r="AA444" s="45" t="s">
        <v>23</v>
      </c>
      <c r="AB444" s="45" t="s">
        <v>23</v>
      </c>
      <c r="AC444" s="46" t="s">
        <v>26</v>
      </c>
      <c r="AD444" s="46" t="s">
        <v>27</v>
      </c>
      <c r="AE444" s="46" t="s">
        <v>89</v>
      </c>
      <c r="AF444" s="46" t="s">
        <v>29</v>
      </c>
      <c r="AG444" s="107"/>
      <c r="AH444" s="70">
        <f>SUM(9772+7790+4857+3455)</f>
        <v>25874</v>
      </c>
      <c r="AI444" s="70">
        <f>SUM(9772+7790+4857+3455)</f>
        <v>25874</v>
      </c>
      <c r="AJ444" s="102">
        <v>37.799999999999997</v>
      </c>
      <c r="AK444" s="104">
        <v>75.599999999999994</v>
      </c>
      <c r="AL444" s="102">
        <v>37.799999999999997</v>
      </c>
      <c r="AM444" s="102"/>
      <c r="AN444" s="53">
        <f t="shared" si="227"/>
        <v>75.599999999999994</v>
      </c>
      <c r="AO444" s="53">
        <v>30.1</v>
      </c>
      <c r="AP444" s="102"/>
      <c r="AQ444" s="102"/>
      <c r="AR444" s="102"/>
      <c r="AS444" s="102"/>
      <c r="AT444" s="102"/>
      <c r="AU444" s="102"/>
      <c r="AV444" s="102"/>
      <c r="AW444" s="102"/>
      <c r="AX444" s="102"/>
      <c r="AY444" s="102"/>
      <c r="AZ444" s="102"/>
      <c r="BA444" s="102"/>
      <c r="BB444" s="102"/>
      <c r="BC444" s="102"/>
      <c r="BD444" s="102"/>
      <c r="BE444" s="102"/>
      <c r="BF444" s="102"/>
      <c r="BG444" s="102"/>
      <c r="BH444" s="102"/>
      <c r="BI444" s="102"/>
      <c r="BJ444" s="102"/>
      <c r="BK444" s="102"/>
      <c r="BL444" s="102"/>
      <c r="BM444" s="102"/>
      <c r="BN444" s="102"/>
      <c r="BO444" s="102"/>
      <c r="BP444" s="102"/>
      <c r="BQ444" s="102"/>
      <c r="BR444" s="102"/>
      <c r="BS444" s="54" t="s">
        <v>23</v>
      </c>
      <c r="BT444" s="45" t="str">
        <f t="shared" si="219"/>
        <v>Yes</v>
      </c>
      <c r="BU444" s="45" t="str">
        <f t="shared" si="220"/>
        <v>Yes</v>
      </c>
      <c r="BV444" s="45" t="str">
        <f t="shared" si="221"/>
        <v>No</v>
      </c>
      <c r="BW444" s="55">
        <f t="shared" si="228"/>
        <v>65.862939999343894</v>
      </c>
      <c r="BX444" s="55">
        <f t="shared" si="228"/>
        <v>65.862939999343894</v>
      </c>
      <c r="BY444" s="55">
        <v>65.607939999343884</v>
      </c>
      <c r="BZ444" s="55">
        <f t="shared" si="229"/>
        <v>65.607939999343898</v>
      </c>
      <c r="CA444" s="45">
        <v>2000</v>
      </c>
      <c r="CB444" s="55">
        <f t="shared" si="230"/>
        <v>42.033953375030457</v>
      </c>
      <c r="CC444" s="46" t="s">
        <v>355</v>
      </c>
      <c r="CD444" s="46" t="s">
        <v>179</v>
      </c>
      <c r="CE444" s="46" t="s">
        <v>179</v>
      </c>
      <c r="CF444" s="46">
        <v>1</v>
      </c>
      <c r="CG444" s="46" t="str">
        <f t="shared" si="231"/>
        <v>No</v>
      </c>
      <c r="CH444" s="46" t="s">
        <v>35</v>
      </c>
      <c r="CI444" s="56">
        <v>0</v>
      </c>
      <c r="CJ444" s="46">
        <v>20</v>
      </c>
      <c r="CK444" s="46" t="s">
        <v>23</v>
      </c>
      <c r="CL444" s="49" t="s">
        <v>29</v>
      </c>
      <c r="CM444" s="50">
        <v>0</v>
      </c>
      <c r="CN444" s="50"/>
      <c r="CO444" s="50"/>
      <c r="CP444" s="46" t="s">
        <v>23</v>
      </c>
      <c r="CQ444" s="46" t="s">
        <v>24</v>
      </c>
      <c r="CR444" s="46">
        <v>7</v>
      </c>
      <c r="CS444" s="46" t="s">
        <v>854</v>
      </c>
      <c r="CT444" s="46" t="s">
        <v>53</v>
      </c>
      <c r="CU444" s="46" t="s">
        <v>29</v>
      </c>
      <c r="CV444" s="46" t="s">
        <v>23</v>
      </c>
      <c r="CW444" s="46" t="s">
        <v>23</v>
      </c>
      <c r="CX444" s="49" t="s">
        <v>928</v>
      </c>
      <c r="CY444" s="49" t="s">
        <v>295</v>
      </c>
      <c r="CZ444" s="49">
        <v>0</v>
      </c>
      <c r="DA444" s="49">
        <v>0</v>
      </c>
      <c r="DB444" s="64">
        <v>61555</v>
      </c>
      <c r="DC444" s="58">
        <v>62.250000000000007</v>
      </c>
      <c r="DD444" s="58">
        <v>2.33</v>
      </c>
      <c r="DE444" s="58">
        <v>13.52</v>
      </c>
      <c r="DF444" s="58">
        <v>17.7</v>
      </c>
      <c r="DG444" s="58">
        <v>4.2000000000000037</v>
      </c>
      <c r="DH444" s="58">
        <v>37.749999999999993</v>
      </c>
      <c r="DI444" s="45" t="s">
        <v>29</v>
      </c>
      <c r="DJ444" s="59" t="str">
        <f t="shared" si="232"/>
        <v>N/A</v>
      </c>
      <c r="DK444" s="65">
        <v>61555</v>
      </c>
      <c r="DL444" s="58">
        <v>62.250000000000007</v>
      </c>
      <c r="DM444" s="58">
        <v>2.33</v>
      </c>
      <c r="DN444" s="58">
        <v>13.52</v>
      </c>
      <c r="DO444" s="58">
        <v>37.749999999999993</v>
      </c>
      <c r="DP444" s="66">
        <v>49.1</v>
      </c>
      <c r="DQ444" s="67">
        <v>95500.02</v>
      </c>
      <c r="DR444" s="53">
        <v>7.8</v>
      </c>
      <c r="DS444" s="58">
        <v>70.599999999999994</v>
      </c>
      <c r="DT444" s="53">
        <v>46.1</v>
      </c>
      <c r="DU444" s="55">
        <v>2.58</v>
      </c>
      <c r="DV444" s="102">
        <v>33.4</v>
      </c>
      <c r="DW444" s="53">
        <v>86.9</v>
      </c>
      <c r="DX444" s="53">
        <v>64.908199999999994</v>
      </c>
      <c r="DY444" s="53">
        <v>34.784500000000001</v>
      </c>
      <c r="DZ444" s="63"/>
    </row>
    <row r="445" spans="1:130" s="5" customFormat="1" ht="14.25" hidden="1" customHeight="1">
      <c r="A445" s="45">
        <v>1434</v>
      </c>
      <c r="B445" s="46" t="s">
        <v>384</v>
      </c>
      <c r="C445" s="47">
        <v>2000</v>
      </c>
      <c r="D445" s="47" t="s">
        <v>396</v>
      </c>
      <c r="E445" s="46" t="s">
        <v>22</v>
      </c>
      <c r="F445" s="46">
        <v>4</v>
      </c>
      <c r="G445" s="48">
        <v>11000</v>
      </c>
      <c r="H445" s="46" t="s">
        <v>332</v>
      </c>
      <c r="I445" s="46">
        <v>1</v>
      </c>
      <c r="J445" s="46">
        <v>1</v>
      </c>
      <c r="K445" s="49" t="s">
        <v>405</v>
      </c>
      <c r="L445" s="49" t="s">
        <v>30</v>
      </c>
      <c r="M445" s="49" t="s">
        <v>29</v>
      </c>
      <c r="N445" s="49" t="s">
        <v>513</v>
      </c>
      <c r="O445" s="49"/>
      <c r="P445" s="49" t="s">
        <v>31</v>
      </c>
      <c r="Q445" s="49" t="s">
        <v>29</v>
      </c>
      <c r="R445" s="49">
        <v>0</v>
      </c>
      <c r="S445" s="50">
        <f t="shared" si="223"/>
        <v>0</v>
      </c>
      <c r="T445" s="49">
        <v>0</v>
      </c>
      <c r="U445" s="50">
        <f t="shared" si="224"/>
        <v>0</v>
      </c>
      <c r="V445" s="45"/>
      <c r="W445" s="49">
        <v>0</v>
      </c>
      <c r="X445" s="50">
        <f t="shared" si="225"/>
        <v>0</v>
      </c>
      <c r="Y445" s="51" t="str">
        <f t="shared" si="226"/>
        <v>No</v>
      </c>
      <c r="Z445" s="45" t="s">
        <v>29</v>
      </c>
      <c r="AA445" s="49" t="s">
        <v>29</v>
      </c>
      <c r="AB445" s="49" t="s">
        <v>29</v>
      </c>
      <c r="AC445" s="46" t="s">
        <v>26</v>
      </c>
      <c r="AD445" s="46" t="s">
        <v>27</v>
      </c>
      <c r="AE445" s="46" t="s">
        <v>89</v>
      </c>
      <c r="AF445" s="46" t="s">
        <v>29</v>
      </c>
      <c r="AG445" s="103"/>
      <c r="AH445" s="52">
        <v>20108</v>
      </c>
      <c r="AI445" s="52">
        <v>20108</v>
      </c>
      <c r="AJ445" s="102">
        <v>100</v>
      </c>
      <c r="AK445" s="104">
        <v>200</v>
      </c>
      <c r="AL445" s="102">
        <v>100</v>
      </c>
      <c r="AM445" s="102"/>
      <c r="AN445" s="53">
        <f t="shared" si="227"/>
        <v>200</v>
      </c>
      <c r="AO445" s="53" t="s">
        <v>23</v>
      </c>
      <c r="AP445" s="102"/>
      <c r="AQ445" s="102"/>
      <c r="AR445" s="102"/>
      <c r="AS445" s="102"/>
      <c r="AT445" s="102"/>
      <c r="AU445" s="102"/>
      <c r="AV445" s="102"/>
      <c r="AW445" s="102"/>
      <c r="AX445" s="102"/>
      <c r="AY445" s="102"/>
      <c r="AZ445" s="102"/>
      <c r="BA445" s="102"/>
      <c r="BB445" s="102"/>
      <c r="BC445" s="102"/>
      <c r="BD445" s="102"/>
      <c r="BE445" s="102"/>
      <c r="BF445" s="102"/>
      <c r="BG445" s="102"/>
      <c r="BH445" s="102"/>
      <c r="BI445" s="102"/>
      <c r="BJ445" s="102"/>
      <c r="BK445" s="102"/>
      <c r="BL445" s="102"/>
      <c r="BM445" s="102"/>
      <c r="BN445" s="102"/>
      <c r="BO445" s="102"/>
      <c r="BP445" s="102"/>
      <c r="BQ445" s="102"/>
      <c r="BR445" s="102"/>
      <c r="BS445" s="54" t="s">
        <v>23</v>
      </c>
      <c r="BT445" s="45" t="str">
        <f t="shared" si="219"/>
        <v>No</v>
      </c>
      <c r="BU445" s="45" t="str">
        <f t="shared" si="220"/>
        <v>No</v>
      </c>
      <c r="BV445" s="45" t="str">
        <f t="shared" si="221"/>
        <v>No</v>
      </c>
      <c r="BW445" s="55">
        <f t="shared" si="228"/>
        <v>65.862939999343894</v>
      </c>
      <c r="BX445" s="55">
        <f t="shared" si="228"/>
        <v>65.862939999343894</v>
      </c>
      <c r="BY445" s="55">
        <v>65.607939999343884</v>
      </c>
      <c r="BZ445" s="55">
        <f t="shared" si="229"/>
        <v>65.607939999343898</v>
      </c>
      <c r="CA445" s="45">
        <v>2000</v>
      </c>
      <c r="CB445" s="55">
        <f t="shared" si="230"/>
        <v>32.666720818779957</v>
      </c>
      <c r="CC445" s="46" t="s">
        <v>355</v>
      </c>
      <c r="CD445" s="46" t="s">
        <v>179</v>
      </c>
      <c r="CE445" s="46" t="s">
        <v>179</v>
      </c>
      <c r="CF445" s="46">
        <v>1</v>
      </c>
      <c r="CG445" s="46" t="str">
        <f t="shared" si="231"/>
        <v>No</v>
      </c>
      <c r="CH445" s="46" t="s">
        <v>35</v>
      </c>
      <c r="CI445" s="56">
        <v>0</v>
      </c>
      <c r="CJ445" s="46">
        <v>20</v>
      </c>
      <c r="CK445" s="46" t="s">
        <v>23</v>
      </c>
      <c r="CL445" s="49" t="s">
        <v>29</v>
      </c>
      <c r="CM445" s="50">
        <v>0</v>
      </c>
      <c r="CN445" s="50"/>
      <c r="CO445" s="50"/>
      <c r="CP445" s="46" t="s">
        <v>23</v>
      </c>
      <c r="CQ445" s="46" t="s">
        <v>24</v>
      </c>
      <c r="CR445" s="46">
        <v>7</v>
      </c>
      <c r="CS445" s="46" t="s">
        <v>854</v>
      </c>
      <c r="CT445" s="46" t="s">
        <v>53</v>
      </c>
      <c r="CU445" s="46" t="s">
        <v>29</v>
      </c>
      <c r="CV445" s="46" t="s">
        <v>23</v>
      </c>
      <c r="CW445" s="46" t="s">
        <v>23</v>
      </c>
      <c r="CX445" s="49" t="s">
        <v>928</v>
      </c>
      <c r="CY445" s="49" t="s">
        <v>295</v>
      </c>
      <c r="CZ445" s="49">
        <v>0</v>
      </c>
      <c r="DA445" s="49">
        <v>0</v>
      </c>
      <c r="DB445" s="64">
        <v>61555</v>
      </c>
      <c r="DC445" s="58">
        <v>62.250000000000007</v>
      </c>
      <c r="DD445" s="58">
        <v>2.33</v>
      </c>
      <c r="DE445" s="58">
        <v>13.52</v>
      </c>
      <c r="DF445" s="58">
        <v>17.7</v>
      </c>
      <c r="DG445" s="58">
        <v>4.2000000000000037</v>
      </c>
      <c r="DH445" s="58">
        <v>37.749999999999993</v>
      </c>
      <c r="DI445" s="45" t="s">
        <v>29</v>
      </c>
      <c r="DJ445" s="59" t="str">
        <f t="shared" si="232"/>
        <v>N/A</v>
      </c>
      <c r="DK445" s="65">
        <v>61555</v>
      </c>
      <c r="DL445" s="58">
        <v>62.250000000000007</v>
      </c>
      <c r="DM445" s="58">
        <v>2.33</v>
      </c>
      <c r="DN445" s="58">
        <v>13.52</v>
      </c>
      <c r="DO445" s="58">
        <v>37.749999999999993</v>
      </c>
      <c r="DP445" s="66">
        <v>49.1</v>
      </c>
      <c r="DQ445" s="67">
        <v>95500.02</v>
      </c>
      <c r="DR445" s="53">
        <v>7.8</v>
      </c>
      <c r="DS445" s="58">
        <v>70.599999999999994</v>
      </c>
      <c r="DT445" s="53">
        <v>46.1</v>
      </c>
      <c r="DU445" s="55">
        <v>2.58</v>
      </c>
      <c r="DV445" s="102">
        <v>33.4</v>
      </c>
      <c r="DW445" s="53">
        <v>86.9</v>
      </c>
      <c r="DX445" s="53">
        <v>64.908199999999994</v>
      </c>
      <c r="DY445" s="53">
        <v>34.784500000000001</v>
      </c>
      <c r="DZ445" s="63"/>
    </row>
    <row r="446" spans="1:130" s="5" customFormat="1" ht="14.25" hidden="1" customHeight="1">
      <c r="A446" s="45">
        <v>1428</v>
      </c>
      <c r="B446" s="46" t="s">
        <v>384</v>
      </c>
      <c r="C446" s="47">
        <v>2002</v>
      </c>
      <c r="D446" s="47" t="s">
        <v>385</v>
      </c>
      <c r="E446" s="46" t="s">
        <v>22</v>
      </c>
      <c r="F446" s="46">
        <v>4</v>
      </c>
      <c r="G446" s="48">
        <v>11000</v>
      </c>
      <c r="H446" s="46" t="s">
        <v>332</v>
      </c>
      <c r="I446" s="46">
        <v>1</v>
      </c>
      <c r="J446" s="46">
        <v>4</v>
      </c>
      <c r="K446" s="49" t="s">
        <v>388</v>
      </c>
      <c r="L446" s="49" t="s">
        <v>30</v>
      </c>
      <c r="M446" s="49" t="s">
        <v>29</v>
      </c>
      <c r="N446" s="49" t="s">
        <v>512</v>
      </c>
      <c r="O446" s="49"/>
      <c r="P446" s="49" t="s">
        <v>31</v>
      </c>
      <c r="Q446" s="49" t="s">
        <v>29</v>
      </c>
      <c r="R446" s="49">
        <v>0</v>
      </c>
      <c r="S446" s="50">
        <f t="shared" si="223"/>
        <v>0</v>
      </c>
      <c r="T446" s="49">
        <v>2</v>
      </c>
      <c r="U446" s="50">
        <f t="shared" si="224"/>
        <v>50</v>
      </c>
      <c r="V446" s="49" t="s">
        <v>799</v>
      </c>
      <c r="W446" s="49">
        <v>0</v>
      </c>
      <c r="X446" s="50">
        <f t="shared" si="225"/>
        <v>0</v>
      </c>
      <c r="Y446" s="51" t="str">
        <f t="shared" si="226"/>
        <v>No</v>
      </c>
      <c r="Z446" s="45" t="s">
        <v>35</v>
      </c>
      <c r="AA446" s="45" t="s">
        <v>23</v>
      </c>
      <c r="AB446" s="45" t="s">
        <v>23</v>
      </c>
      <c r="AC446" s="46" t="s">
        <v>26</v>
      </c>
      <c r="AD446" s="46" t="s">
        <v>27</v>
      </c>
      <c r="AE446" s="46" t="s">
        <v>73</v>
      </c>
      <c r="AF446" s="46" t="s">
        <v>29</v>
      </c>
      <c r="AG446" s="107"/>
      <c r="AH446" s="70">
        <f>SUM(8773+4334+2493+2037)</f>
        <v>17637</v>
      </c>
      <c r="AI446" s="70">
        <f>SUM(8773+4334+2493+2037)</f>
        <v>17637</v>
      </c>
      <c r="AJ446" s="102">
        <v>49.8</v>
      </c>
      <c r="AK446" s="104">
        <v>99.6</v>
      </c>
      <c r="AL446" s="102">
        <v>49.8</v>
      </c>
      <c r="AM446" s="102"/>
      <c r="AN446" s="53">
        <f t="shared" si="227"/>
        <v>99.6</v>
      </c>
      <c r="AO446" s="53">
        <v>24.6</v>
      </c>
      <c r="AP446" s="102"/>
      <c r="AQ446" s="102"/>
      <c r="AR446" s="102"/>
      <c r="AS446" s="102"/>
      <c r="AT446" s="102"/>
      <c r="AU446" s="102"/>
      <c r="AV446" s="102"/>
      <c r="AW446" s="102"/>
      <c r="AX446" s="102"/>
      <c r="AY446" s="102"/>
      <c r="AZ446" s="102"/>
      <c r="BA446" s="102"/>
      <c r="BB446" s="102"/>
      <c r="BC446" s="102"/>
      <c r="BD446" s="102"/>
      <c r="BE446" s="102"/>
      <c r="BF446" s="102"/>
      <c r="BG446" s="102"/>
      <c r="BH446" s="102"/>
      <c r="BI446" s="102"/>
      <c r="BJ446" s="102"/>
      <c r="BK446" s="102"/>
      <c r="BL446" s="102"/>
      <c r="BM446" s="102"/>
      <c r="BN446" s="102"/>
      <c r="BO446" s="102"/>
      <c r="BP446" s="102"/>
      <c r="BQ446" s="102"/>
      <c r="BR446" s="102"/>
      <c r="BS446" s="54" t="s">
        <v>23</v>
      </c>
      <c r="BT446" s="45" t="str">
        <f t="shared" si="219"/>
        <v>No</v>
      </c>
      <c r="BU446" s="45" t="str">
        <f t="shared" si="220"/>
        <v>No</v>
      </c>
      <c r="BV446" s="45" t="str">
        <f t="shared" si="221"/>
        <v>No</v>
      </c>
      <c r="BW446" s="55">
        <f t="shared" si="228"/>
        <v>65.862939999343894</v>
      </c>
      <c r="BX446" s="55">
        <f t="shared" si="228"/>
        <v>65.862939999343894</v>
      </c>
      <c r="BY446" s="55">
        <v>65.607939999343884</v>
      </c>
      <c r="BZ446" s="55">
        <f t="shared" si="229"/>
        <v>65.607939999343898</v>
      </c>
      <c r="CA446" s="45">
        <v>2000</v>
      </c>
      <c r="CB446" s="55">
        <f t="shared" si="230"/>
        <v>28.652424660872388</v>
      </c>
      <c r="CC446" s="46" t="s">
        <v>355</v>
      </c>
      <c r="CD446" s="46" t="s">
        <v>179</v>
      </c>
      <c r="CE446" s="46" t="s">
        <v>179</v>
      </c>
      <c r="CF446" s="46">
        <v>1</v>
      </c>
      <c r="CG446" s="46" t="str">
        <f t="shared" si="231"/>
        <v>No</v>
      </c>
      <c r="CH446" s="46" t="s">
        <v>35</v>
      </c>
      <c r="CI446" s="56">
        <v>0</v>
      </c>
      <c r="CJ446" s="46">
        <v>20</v>
      </c>
      <c r="CK446" s="46" t="s">
        <v>23</v>
      </c>
      <c r="CL446" s="49" t="s">
        <v>29</v>
      </c>
      <c r="CM446" s="50">
        <v>0</v>
      </c>
      <c r="CN446" s="50"/>
      <c r="CO446" s="50"/>
      <c r="CP446" s="46" t="s">
        <v>23</v>
      </c>
      <c r="CQ446" s="46" t="s">
        <v>24</v>
      </c>
      <c r="CR446" s="46">
        <v>7</v>
      </c>
      <c r="CS446" s="46" t="s">
        <v>854</v>
      </c>
      <c r="CT446" s="46" t="s">
        <v>53</v>
      </c>
      <c r="CU446" s="46" t="s">
        <v>29</v>
      </c>
      <c r="CV446" s="46" t="s">
        <v>23</v>
      </c>
      <c r="CW446" s="46" t="s">
        <v>23</v>
      </c>
      <c r="CX446" s="49" t="s">
        <v>928</v>
      </c>
      <c r="CY446" s="49" t="s">
        <v>295</v>
      </c>
      <c r="CZ446" s="49">
        <v>0</v>
      </c>
      <c r="DA446" s="49">
        <v>0</v>
      </c>
      <c r="DB446" s="64">
        <v>61555</v>
      </c>
      <c r="DC446" s="58">
        <v>62.250000000000007</v>
      </c>
      <c r="DD446" s="58">
        <v>2.33</v>
      </c>
      <c r="DE446" s="58">
        <v>13.52</v>
      </c>
      <c r="DF446" s="58">
        <v>17.7</v>
      </c>
      <c r="DG446" s="58">
        <v>4.2000000000000037</v>
      </c>
      <c r="DH446" s="58">
        <v>37.749999999999993</v>
      </c>
      <c r="DI446" s="45" t="s">
        <v>29</v>
      </c>
      <c r="DJ446" s="59" t="str">
        <f t="shared" si="232"/>
        <v>N/A</v>
      </c>
      <c r="DK446" s="65">
        <v>61555</v>
      </c>
      <c r="DL446" s="58">
        <v>62.250000000000007</v>
      </c>
      <c r="DM446" s="58">
        <v>2.33</v>
      </c>
      <c r="DN446" s="58">
        <v>13.52</v>
      </c>
      <c r="DO446" s="58">
        <v>37.749999999999993</v>
      </c>
      <c r="DP446" s="66">
        <v>49.1</v>
      </c>
      <c r="DQ446" s="67">
        <v>95500.02</v>
      </c>
      <c r="DR446" s="53">
        <v>7.8</v>
      </c>
      <c r="DS446" s="58">
        <v>70.599999999999994</v>
      </c>
      <c r="DT446" s="53">
        <v>46.1</v>
      </c>
      <c r="DU446" s="55">
        <v>2.58</v>
      </c>
      <c r="DV446" s="102">
        <v>33.4</v>
      </c>
      <c r="DW446" s="53">
        <v>86.9</v>
      </c>
      <c r="DX446" s="53">
        <v>64.908199999999994</v>
      </c>
      <c r="DY446" s="53">
        <v>34.784500000000001</v>
      </c>
      <c r="DZ446" s="63"/>
    </row>
    <row r="447" spans="1:130" s="5" customFormat="1" ht="14.25" hidden="1" customHeight="1">
      <c r="A447" s="45">
        <v>1429</v>
      </c>
      <c r="B447" s="46" t="s">
        <v>384</v>
      </c>
      <c r="C447" s="47">
        <v>2002</v>
      </c>
      <c r="D447" s="47" t="s">
        <v>387</v>
      </c>
      <c r="E447" s="46" t="s">
        <v>22</v>
      </c>
      <c r="F447" s="46">
        <v>4</v>
      </c>
      <c r="G447" s="48">
        <v>11000</v>
      </c>
      <c r="H447" s="46" t="s">
        <v>332</v>
      </c>
      <c r="I447" s="46">
        <v>1</v>
      </c>
      <c r="J447" s="46">
        <v>2</v>
      </c>
      <c r="K447" s="49" t="s">
        <v>389</v>
      </c>
      <c r="L447" s="49" t="s">
        <v>30</v>
      </c>
      <c r="M447" s="49" t="s">
        <v>29</v>
      </c>
      <c r="N447" s="49" t="s">
        <v>513</v>
      </c>
      <c r="O447" s="49"/>
      <c r="P447" s="49" t="s">
        <v>31</v>
      </c>
      <c r="Q447" s="49" t="s">
        <v>29</v>
      </c>
      <c r="R447" s="49">
        <v>0</v>
      </c>
      <c r="S447" s="50">
        <f t="shared" si="223"/>
        <v>0</v>
      </c>
      <c r="T447" s="49">
        <v>0</v>
      </c>
      <c r="U447" s="50">
        <f t="shared" si="224"/>
        <v>0</v>
      </c>
      <c r="V447" s="45"/>
      <c r="W447" s="49">
        <v>0</v>
      </c>
      <c r="X447" s="50">
        <f t="shared" si="225"/>
        <v>0</v>
      </c>
      <c r="Y447" s="51" t="str">
        <f t="shared" si="226"/>
        <v>No</v>
      </c>
      <c r="Z447" s="49" t="s">
        <v>29</v>
      </c>
      <c r="AA447" s="49" t="s">
        <v>29</v>
      </c>
      <c r="AB447" s="49" t="s">
        <v>29</v>
      </c>
      <c r="AC447" s="46" t="s">
        <v>26</v>
      </c>
      <c r="AD447" s="46" t="s">
        <v>27</v>
      </c>
      <c r="AE447" s="46" t="s">
        <v>73</v>
      </c>
      <c r="AF447" s="46" t="s">
        <v>29</v>
      </c>
      <c r="AG447" s="107"/>
      <c r="AH447" s="70">
        <f>SUM(13162+3791)</f>
        <v>16953</v>
      </c>
      <c r="AI447" s="70">
        <f>SUM(13162+3791)</f>
        <v>16953</v>
      </c>
      <c r="AJ447" s="102">
        <v>77.7</v>
      </c>
      <c r="AK447" s="104">
        <v>155.4</v>
      </c>
      <c r="AL447" s="102">
        <v>77.7</v>
      </c>
      <c r="AM447" s="102"/>
      <c r="AN447" s="53">
        <f t="shared" si="227"/>
        <v>155.4</v>
      </c>
      <c r="AO447" s="53">
        <v>22.3</v>
      </c>
      <c r="AP447" s="102"/>
      <c r="AQ447" s="102"/>
      <c r="AR447" s="102"/>
      <c r="AS447" s="102"/>
      <c r="AT447" s="102"/>
      <c r="AU447" s="102"/>
      <c r="AV447" s="50"/>
      <c r="AW447" s="50"/>
      <c r="AX447" s="102"/>
      <c r="AY447" s="102"/>
      <c r="AZ447" s="102"/>
      <c r="BA447" s="102"/>
      <c r="BB447" s="102"/>
      <c r="BC447" s="102"/>
      <c r="BD447" s="102"/>
      <c r="BE447" s="102"/>
      <c r="BF447" s="102"/>
      <c r="BG447" s="102"/>
      <c r="BH447" s="102"/>
      <c r="BI447" s="102"/>
      <c r="BJ447" s="50"/>
      <c r="BK447" s="50"/>
      <c r="BL447" s="50"/>
      <c r="BM447" s="50"/>
      <c r="BN447" s="102"/>
      <c r="BO447" s="102"/>
      <c r="BP447" s="102"/>
      <c r="BQ447" s="102"/>
      <c r="BR447" s="102"/>
      <c r="BS447" s="54" t="s">
        <v>23</v>
      </c>
      <c r="BT447" s="45" t="str">
        <f t="shared" si="219"/>
        <v>No</v>
      </c>
      <c r="BU447" s="45" t="str">
        <f t="shared" si="220"/>
        <v>No</v>
      </c>
      <c r="BV447" s="45" t="str">
        <f t="shared" si="221"/>
        <v>No</v>
      </c>
      <c r="BW447" s="55">
        <f t="shared" si="228"/>
        <v>65.862939999343894</v>
      </c>
      <c r="BX447" s="55">
        <f t="shared" si="228"/>
        <v>65.862939999343894</v>
      </c>
      <c r="BY447" s="55">
        <v>65.607939999343884</v>
      </c>
      <c r="BZ447" s="55">
        <f t="shared" si="229"/>
        <v>65.607939999343898</v>
      </c>
      <c r="CA447" s="45">
        <v>2000</v>
      </c>
      <c r="CB447" s="55">
        <f t="shared" si="230"/>
        <v>27.541223296239139</v>
      </c>
      <c r="CC447" s="46" t="s">
        <v>355</v>
      </c>
      <c r="CD447" s="46" t="s">
        <v>179</v>
      </c>
      <c r="CE447" s="46" t="s">
        <v>179</v>
      </c>
      <c r="CF447" s="46">
        <v>1</v>
      </c>
      <c r="CG447" s="46" t="str">
        <f t="shared" si="231"/>
        <v>No</v>
      </c>
      <c r="CH447" s="46" t="s">
        <v>35</v>
      </c>
      <c r="CI447" s="56">
        <v>0</v>
      </c>
      <c r="CJ447" s="46">
        <v>20</v>
      </c>
      <c r="CK447" s="46" t="s">
        <v>23</v>
      </c>
      <c r="CL447" s="49" t="s">
        <v>29</v>
      </c>
      <c r="CM447" s="50">
        <v>0</v>
      </c>
      <c r="CN447" s="50"/>
      <c r="CO447" s="50"/>
      <c r="CP447" s="46" t="s">
        <v>23</v>
      </c>
      <c r="CQ447" s="46" t="s">
        <v>24</v>
      </c>
      <c r="CR447" s="46">
        <v>7</v>
      </c>
      <c r="CS447" s="46" t="s">
        <v>854</v>
      </c>
      <c r="CT447" s="46" t="s">
        <v>53</v>
      </c>
      <c r="CU447" s="46" t="s">
        <v>29</v>
      </c>
      <c r="CV447" s="46" t="s">
        <v>23</v>
      </c>
      <c r="CW447" s="46" t="s">
        <v>23</v>
      </c>
      <c r="CX447" s="49" t="s">
        <v>928</v>
      </c>
      <c r="CY447" s="49" t="s">
        <v>295</v>
      </c>
      <c r="CZ447" s="49">
        <v>0</v>
      </c>
      <c r="DA447" s="49">
        <v>0</v>
      </c>
      <c r="DB447" s="64">
        <v>61555</v>
      </c>
      <c r="DC447" s="58">
        <v>62.250000000000007</v>
      </c>
      <c r="DD447" s="58">
        <v>2.33</v>
      </c>
      <c r="DE447" s="58">
        <v>13.52</v>
      </c>
      <c r="DF447" s="58">
        <v>17.7</v>
      </c>
      <c r="DG447" s="58">
        <v>4.2000000000000037</v>
      </c>
      <c r="DH447" s="58">
        <v>37.749999999999993</v>
      </c>
      <c r="DI447" s="45" t="s">
        <v>29</v>
      </c>
      <c r="DJ447" s="59" t="str">
        <f t="shared" si="232"/>
        <v>N/A</v>
      </c>
      <c r="DK447" s="65">
        <v>61555</v>
      </c>
      <c r="DL447" s="58">
        <v>62.250000000000007</v>
      </c>
      <c r="DM447" s="58">
        <v>2.33</v>
      </c>
      <c r="DN447" s="58">
        <v>13.52</v>
      </c>
      <c r="DO447" s="58">
        <v>37.749999999999993</v>
      </c>
      <c r="DP447" s="66">
        <v>49.1</v>
      </c>
      <c r="DQ447" s="67">
        <v>95500.02</v>
      </c>
      <c r="DR447" s="53">
        <v>7.8</v>
      </c>
      <c r="DS447" s="58">
        <v>70.599999999999994</v>
      </c>
      <c r="DT447" s="53">
        <v>46.1</v>
      </c>
      <c r="DU447" s="55">
        <v>2.58</v>
      </c>
      <c r="DV447" s="102">
        <v>33.4</v>
      </c>
      <c r="DW447" s="53">
        <v>86.9</v>
      </c>
      <c r="DX447" s="53">
        <v>64.908199999999994</v>
      </c>
      <c r="DY447" s="53">
        <v>34.784500000000001</v>
      </c>
      <c r="DZ447" s="63"/>
    </row>
    <row r="448" spans="1:130" s="5" customFormat="1" ht="14.25" hidden="1" customHeight="1">
      <c r="A448" s="45">
        <v>1430</v>
      </c>
      <c r="B448" s="46" t="s">
        <v>384</v>
      </c>
      <c r="C448" s="47">
        <v>2002</v>
      </c>
      <c r="D448" s="47" t="s">
        <v>38</v>
      </c>
      <c r="E448" s="46" t="s">
        <v>22</v>
      </c>
      <c r="F448" s="46">
        <v>4</v>
      </c>
      <c r="G448" s="48">
        <v>12000</v>
      </c>
      <c r="H448" s="46" t="s">
        <v>332</v>
      </c>
      <c r="I448" s="46">
        <v>1</v>
      </c>
      <c r="J448" s="46">
        <v>2</v>
      </c>
      <c r="K448" s="49" t="s">
        <v>398</v>
      </c>
      <c r="L448" s="49" t="s">
        <v>40</v>
      </c>
      <c r="M448" s="49" t="s">
        <v>35</v>
      </c>
      <c r="N448" s="49" t="s">
        <v>512</v>
      </c>
      <c r="O448" s="49"/>
      <c r="P448" s="49" t="s">
        <v>31</v>
      </c>
      <c r="Q448" s="49" t="s">
        <v>29</v>
      </c>
      <c r="R448" s="49">
        <v>1</v>
      </c>
      <c r="S448" s="50">
        <f t="shared" si="223"/>
        <v>50</v>
      </c>
      <c r="T448" s="49">
        <v>0</v>
      </c>
      <c r="U448" s="50">
        <f t="shared" si="224"/>
        <v>0</v>
      </c>
      <c r="V448" s="45"/>
      <c r="W448" s="49">
        <v>0</v>
      </c>
      <c r="X448" s="50">
        <f t="shared" si="225"/>
        <v>0</v>
      </c>
      <c r="Y448" s="51" t="str">
        <f t="shared" si="226"/>
        <v>No</v>
      </c>
      <c r="Z448" s="45" t="s">
        <v>35</v>
      </c>
      <c r="AA448" s="49" t="s">
        <v>23</v>
      </c>
      <c r="AB448" s="49" t="s">
        <v>23</v>
      </c>
      <c r="AC448" s="46" t="s">
        <v>26</v>
      </c>
      <c r="AD448" s="46" t="s">
        <v>27</v>
      </c>
      <c r="AE448" s="46" t="s">
        <v>73</v>
      </c>
      <c r="AF448" s="46" t="s">
        <v>29</v>
      </c>
      <c r="AG448" s="107"/>
      <c r="AH448" s="70">
        <f>SUM(11125+7337)</f>
        <v>18462</v>
      </c>
      <c r="AI448" s="70">
        <f>SUM(11125+7337)</f>
        <v>18462</v>
      </c>
      <c r="AJ448" s="102">
        <v>60.3</v>
      </c>
      <c r="AK448" s="104">
        <v>120.6</v>
      </c>
      <c r="AL448" s="102">
        <v>60.3</v>
      </c>
      <c r="AM448" s="102"/>
      <c r="AN448" s="53">
        <f t="shared" si="227"/>
        <v>120.6</v>
      </c>
      <c r="AO448" s="53">
        <v>39.700000000000003</v>
      </c>
      <c r="AP448" s="102"/>
      <c r="AQ448" s="102"/>
      <c r="AR448" s="102"/>
      <c r="AS448" s="102"/>
      <c r="AT448" s="102"/>
      <c r="AU448" s="102"/>
      <c r="AV448" s="102"/>
      <c r="AW448" s="102"/>
      <c r="AX448" s="102"/>
      <c r="AY448" s="102"/>
      <c r="AZ448" s="102"/>
      <c r="BA448" s="102"/>
      <c r="BB448" s="102"/>
      <c r="BC448" s="102"/>
      <c r="BD448" s="102"/>
      <c r="BE448" s="102"/>
      <c r="BF448" s="102"/>
      <c r="BG448" s="102"/>
      <c r="BH448" s="102"/>
      <c r="BI448" s="102"/>
      <c r="BJ448" s="102"/>
      <c r="BK448" s="102"/>
      <c r="BL448" s="102"/>
      <c r="BM448" s="102"/>
      <c r="BN448" s="102"/>
      <c r="BO448" s="102"/>
      <c r="BP448" s="102"/>
      <c r="BQ448" s="102"/>
      <c r="BR448" s="102"/>
      <c r="BS448" s="54" t="s">
        <v>23</v>
      </c>
      <c r="BT448" s="45" t="str">
        <f t="shared" si="219"/>
        <v>Yes</v>
      </c>
      <c r="BU448" s="45" t="str">
        <f t="shared" si="220"/>
        <v>No</v>
      </c>
      <c r="BV448" s="45" t="str">
        <f t="shared" si="221"/>
        <v>No</v>
      </c>
      <c r="BW448" s="55">
        <f t="shared" si="228"/>
        <v>65.862939999343894</v>
      </c>
      <c r="BX448" s="55">
        <f t="shared" si="228"/>
        <v>65.862939999343894</v>
      </c>
      <c r="BY448" s="55">
        <v>65.607939999343884</v>
      </c>
      <c r="BZ448" s="55">
        <f t="shared" si="229"/>
        <v>65.607939999343898</v>
      </c>
      <c r="CA448" s="45">
        <v>2000</v>
      </c>
      <c r="CB448" s="55">
        <f t="shared" si="230"/>
        <v>29.992689464706363</v>
      </c>
      <c r="CC448" s="46" t="s">
        <v>39</v>
      </c>
      <c r="CD448" s="46" t="s">
        <v>179</v>
      </c>
      <c r="CE448" s="46" t="s">
        <v>179</v>
      </c>
      <c r="CF448" s="46">
        <v>1</v>
      </c>
      <c r="CG448" s="46" t="str">
        <f t="shared" si="231"/>
        <v>No</v>
      </c>
      <c r="CH448" s="46" t="s">
        <v>35</v>
      </c>
      <c r="CI448" s="56">
        <v>0</v>
      </c>
      <c r="CJ448" s="46">
        <v>20</v>
      </c>
      <c r="CK448" s="46" t="s">
        <v>23</v>
      </c>
      <c r="CL448" s="49" t="s">
        <v>29</v>
      </c>
      <c r="CM448" s="50">
        <v>0</v>
      </c>
      <c r="CN448" s="101"/>
      <c r="CO448" s="50"/>
      <c r="CP448" s="46" t="s">
        <v>23</v>
      </c>
      <c r="CQ448" s="46" t="s">
        <v>23</v>
      </c>
      <c r="CR448" s="46">
        <v>7</v>
      </c>
      <c r="CS448" s="46" t="s">
        <v>854</v>
      </c>
      <c r="CT448" s="46" t="s">
        <v>53</v>
      </c>
      <c r="CU448" s="46" t="s">
        <v>29</v>
      </c>
      <c r="CV448" s="46" t="s">
        <v>23</v>
      </c>
      <c r="CW448" s="46" t="s">
        <v>23</v>
      </c>
      <c r="CX448" s="49" t="s">
        <v>928</v>
      </c>
      <c r="CY448" s="49" t="s">
        <v>295</v>
      </c>
      <c r="CZ448" s="49">
        <v>0</v>
      </c>
      <c r="DA448" s="49">
        <v>0</v>
      </c>
      <c r="DB448" s="64">
        <v>61555</v>
      </c>
      <c r="DC448" s="58">
        <v>62.250000000000007</v>
      </c>
      <c r="DD448" s="58">
        <v>2.33</v>
      </c>
      <c r="DE448" s="58">
        <v>13.52</v>
      </c>
      <c r="DF448" s="58">
        <v>17.7</v>
      </c>
      <c r="DG448" s="58">
        <v>4.2000000000000037</v>
      </c>
      <c r="DH448" s="58">
        <v>37.749999999999993</v>
      </c>
      <c r="DI448" s="45" t="s">
        <v>29</v>
      </c>
      <c r="DJ448" s="59" t="str">
        <f t="shared" si="232"/>
        <v>N/A</v>
      </c>
      <c r="DK448" s="65">
        <v>61555</v>
      </c>
      <c r="DL448" s="58">
        <v>62.250000000000007</v>
      </c>
      <c r="DM448" s="58">
        <v>2.33</v>
      </c>
      <c r="DN448" s="58">
        <v>13.52</v>
      </c>
      <c r="DO448" s="58">
        <v>37.749999999999993</v>
      </c>
      <c r="DP448" s="66">
        <v>49.1</v>
      </c>
      <c r="DQ448" s="67">
        <v>95500.02</v>
      </c>
      <c r="DR448" s="53">
        <v>7.8</v>
      </c>
      <c r="DS448" s="58">
        <v>70.599999999999994</v>
      </c>
      <c r="DT448" s="53">
        <v>46.1</v>
      </c>
      <c r="DU448" s="55">
        <v>2.58</v>
      </c>
      <c r="DV448" s="102">
        <v>33.4</v>
      </c>
      <c r="DW448" s="53">
        <v>86.9</v>
      </c>
      <c r="DX448" s="53">
        <v>64.908199999999994</v>
      </c>
      <c r="DY448" s="53">
        <v>34.784500000000001</v>
      </c>
      <c r="DZ448" s="63"/>
    </row>
    <row r="449" spans="1:130" s="5" customFormat="1" ht="14.25" hidden="1" customHeight="1">
      <c r="A449" s="45">
        <v>1424</v>
      </c>
      <c r="B449" s="46" t="s">
        <v>384</v>
      </c>
      <c r="C449" s="47">
        <v>2004</v>
      </c>
      <c r="D449" s="47" t="s">
        <v>390</v>
      </c>
      <c r="E449" s="46" t="s">
        <v>22</v>
      </c>
      <c r="F449" s="46">
        <v>4</v>
      </c>
      <c r="G449" s="48">
        <v>11000</v>
      </c>
      <c r="H449" s="46" t="s">
        <v>332</v>
      </c>
      <c r="I449" s="46">
        <v>1</v>
      </c>
      <c r="J449" s="46">
        <v>3</v>
      </c>
      <c r="K449" s="49" t="s">
        <v>399</v>
      </c>
      <c r="L449" s="49" t="s">
        <v>30</v>
      </c>
      <c r="M449" s="49" t="s">
        <v>29</v>
      </c>
      <c r="N449" s="49" t="s">
        <v>512</v>
      </c>
      <c r="O449" s="49"/>
      <c r="P449" s="49" t="s">
        <v>31</v>
      </c>
      <c r="Q449" s="49" t="s">
        <v>29</v>
      </c>
      <c r="R449" s="49">
        <v>1</v>
      </c>
      <c r="S449" s="50">
        <f t="shared" si="223"/>
        <v>33.333333333333329</v>
      </c>
      <c r="T449" s="49">
        <v>1</v>
      </c>
      <c r="U449" s="50">
        <f t="shared" si="224"/>
        <v>33.333333333333329</v>
      </c>
      <c r="V449" s="49" t="s">
        <v>173</v>
      </c>
      <c r="W449" s="49">
        <v>0</v>
      </c>
      <c r="X449" s="50">
        <f t="shared" si="225"/>
        <v>0</v>
      </c>
      <c r="Y449" s="51" t="str">
        <f t="shared" si="226"/>
        <v>No</v>
      </c>
      <c r="Z449" s="49" t="s">
        <v>35</v>
      </c>
      <c r="AA449" s="49" t="s">
        <v>23</v>
      </c>
      <c r="AB449" s="49" t="s">
        <v>23</v>
      </c>
      <c r="AC449" s="46" t="s">
        <v>26</v>
      </c>
      <c r="AD449" s="46" t="s">
        <v>27</v>
      </c>
      <c r="AE449" s="46" t="s">
        <v>89</v>
      </c>
      <c r="AF449" s="46" t="s">
        <v>29</v>
      </c>
      <c r="AG449" s="103"/>
      <c r="AH449" s="52">
        <v>29937</v>
      </c>
      <c r="AI449" s="52">
        <v>29937</v>
      </c>
      <c r="AJ449" s="102">
        <v>41.86</v>
      </c>
      <c r="AK449" s="104">
        <v>83.72</v>
      </c>
      <c r="AL449" s="102">
        <v>41.86</v>
      </c>
      <c r="AM449" s="102"/>
      <c r="AN449" s="53">
        <f t="shared" si="227"/>
        <v>83.72</v>
      </c>
      <c r="AO449" s="53">
        <v>41.66</v>
      </c>
      <c r="AP449" s="102"/>
      <c r="AQ449" s="102"/>
      <c r="AR449" s="102"/>
      <c r="AS449" s="102"/>
      <c r="AT449" s="102"/>
      <c r="AU449" s="102"/>
      <c r="AV449" s="50"/>
      <c r="AW449" s="50"/>
      <c r="AX449" s="102"/>
      <c r="AY449" s="102"/>
      <c r="AZ449" s="102"/>
      <c r="BA449" s="102"/>
      <c r="BB449" s="102"/>
      <c r="BC449" s="102"/>
      <c r="BD449" s="102"/>
      <c r="BE449" s="102"/>
      <c r="BF449" s="102"/>
      <c r="BG449" s="102"/>
      <c r="BH449" s="102"/>
      <c r="BI449" s="102"/>
      <c r="BJ449" s="50"/>
      <c r="BK449" s="50"/>
      <c r="BL449" s="50"/>
      <c r="BM449" s="50"/>
      <c r="BN449" s="102"/>
      <c r="BO449" s="102"/>
      <c r="BP449" s="102"/>
      <c r="BQ449" s="102"/>
      <c r="BR449" s="102"/>
      <c r="BS449" s="54" t="s">
        <v>23</v>
      </c>
      <c r="BT449" s="45" t="str">
        <f t="shared" si="219"/>
        <v>Yes</v>
      </c>
      <c r="BU449" s="45" t="str">
        <f t="shared" si="220"/>
        <v>Yes</v>
      </c>
      <c r="BV449" s="45" t="str">
        <f t="shared" si="221"/>
        <v>Yes</v>
      </c>
      <c r="BW449" s="55">
        <v>67.306300830656127</v>
      </c>
      <c r="BX449" s="55">
        <v>67.306300830656099</v>
      </c>
      <c r="BY449" s="55">
        <v>68.536300830656131</v>
      </c>
      <c r="BZ449" s="55">
        <f t="shared" ref="BZ449:BZ455" si="233">BX449-(-0.0246*100/2)</f>
        <v>68.536300830656103</v>
      </c>
      <c r="CA449" s="45">
        <v>2004</v>
      </c>
      <c r="CB449" s="55">
        <f t="shared" si="230"/>
        <v>48.634554463487937</v>
      </c>
      <c r="CC449" s="46" t="s">
        <v>355</v>
      </c>
      <c r="CD449" s="46" t="s">
        <v>179</v>
      </c>
      <c r="CE449" s="46" t="s">
        <v>179</v>
      </c>
      <c r="CF449" s="46">
        <v>1</v>
      </c>
      <c r="CG449" s="46" t="str">
        <f t="shared" si="231"/>
        <v>No</v>
      </c>
      <c r="CH449" s="46" t="s">
        <v>35</v>
      </c>
      <c r="CI449" s="56">
        <v>0</v>
      </c>
      <c r="CJ449" s="46">
        <v>20</v>
      </c>
      <c r="CK449" s="46" t="s">
        <v>23</v>
      </c>
      <c r="CL449" s="49" t="s">
        <v>29</v>
      </c>
      <c r="CM449" s="50">
        <v>0</v>
      </c>
      <c r="CN449" s="50"/>
      <c r="CO449" s="50"/>
      <c r="CP449" s="46" t="s">
        <v>23</v>
      </c>
      <c r="CQ449" s="46" t="s">
        <v>24</v>
      </c>
      <c r="CR449" s="46">
        <v>7</v>
      </c>
      <c r="CS449" s="46" t="s">
        <v>854</v>
      </c>
      <c r="CT449" s="46" t="s">
        <v>53</v>
      </c>
      <c r="CU449" s="46" t="s">
        <v>29</v>
      </c>
      <c r="CV449" s="46" t="s">
        <v>23</v>
      </c>
      <c r="CW449" s="46" t="s">
        <v>23</v>
      </c>
      <c r="CX449" s="49" t="s">
        <v>928</v>
      </c>
      <c r="CY449" s="49" t="s">
        <v>295</v>
      </c>
      <c r="CZ449" s="49">
        <v>0</v>
      </c>
      <c r="DA449" s="49">
        <v>0</v>
      </c>
      <c r="DB449" s="64">
        <v>61555</v>
      </c>
      <c r="DC449" s="58">
        <v>62.250000000000007</v>
      </c>
      <c r="DD449" s="58">
        <v>2.33</v>
      </c>
      <c r="DE449" s="58">
        <v>13.52</v>
      </c>
      <c r="DF449" s="58">
        <v>17.7</v>
      </c>
      <c r="DG449" s="58">
        <v>4.2000000000000037</v>
      </c>
      <c r="DH449" s="58">
        <v>37.749999999999993</v>
      </c>
      <c r="DI449" s="45" t="s">
        <v>29</v>
      </c>
      <c r="DJ449" s="59" t="str">
        <f t="shared" si="232"/>
        <v>N/A</v>
      </c>
      <c r="DK449" s="65">
        <v>61555</v>
      </c>
      <c r="DL449" s="58">
        <v>62.250000000000007</v>
      </c>
      <c r="DM449" s="58">
        <v>2.33</v>
      </c>
      <c r="DN449" s="58">
        <v>13.52</v>
      </c>
      <c r="DO449" s="58">
        <v>37.749999999999993</v>
      </c>
      <c r="DP449" s="66">
        <v>49.1</v>
      </c>
      <c r="DQ449" s="67">
        <v>95500.02</v>
      </c>
      <c r="DR449" s="53">
        <v>7.8</v>
      </c>
      <c r="DS449" s="58">
        <v>70.599999999999994</v>
      </c>
      <c r="DT449" s="53">
        <v>46.1</v>
      </c>
      <c r="DU449" s="55">
        <v>2.58</v>
      </c>
      <c r="DV449" s="102">
        <v>33.4</v>
      </c>
      <c r="DW449" s="53">
        <v>86.9</v>
      </c>
      <c r="DX449" s="53">
        <v>64.908199999999994</v>
      </c>
      <c r="DY449" s="53">
        <v>34.784500000000001</v>
      </c>
      <c r="DZ449" s="63"/>
    </row>
    <row r="450" spans="1:130" s="5" customFormat="1" ht="14.25" hidden="1" customHeight="1">
      <c r="A450" s="45">
        <v>1426</v>
      </c>
      <c r="B450" s="46" t="s">
        <v>384</v>
      </c>
      <c r="C450" s="47">
        <v>2004</v>
      </c>
      <c r="D450" s="47" t="s">
        <v>392</v>
      </c>
      <c r="E450" s="46" t="s">
        <v>22</v>
      </c>
      <c r="F450" s="46">
        <v>4</v>
      </c>
      <c r="G450" s="48">
        <v>11000</v>
      </c>
      <c r="H450" s="46" t="s">
        <v>332</v>
      </c>
      <c r="I450" s="46">
        <v>1</v>
      </c>
      <c r="J450" s="46">
        <v>4</v>
      </c>
      <c r="K450" s="49" t="s">
        <v>400</v>
      </c>
      <c r="L450" s="49" t="s">
        <v>30</v>
      </c>
      <c r="M450" s="49" t="s">
        <v>29</v>
      </c>
      <c r="N450" s="49" t="s">
        <v>512</v>
      </c>
      <c r="O450" s="49"/>
      <c r="P450" s="49" t="s">
        <v>31</v>
      </c>
      <c r="Q450" s="49" t="s">
        <v>29</v>
      </c>
      <c r="R450" s="49">
        <v>0</v>
      </c>
      <c r="S450" s="50">
        <f t="shared" si="223"/>
        <v>0</v>
      </c>
      <c r="T450" s="49">
        <v>1</v>
      </c>
      <c r="U450" s="50">
        <f t="shared" si="224"/>
        <v>25</v>
      </c>
      <c r="V450" s="49" t="s">
        <v>173</v>
      </c>
      <c r="W450" s="49">
        <v>0</v>
      </c>
      <c r="X450" s="50">
        <f t="shared" si="225"/>
        <v>0</v>
      </c>
      <c r="Y450" s="51" t="str">
        <f t="shared" si="226"/>
        <v>No</v>
      </c>
      <c r="Z450" s="49" t="s">
        <v>35</v>
      </c>
      <c r="AA450" s="49" t="s">
        <v>23</v>
      </c>
      <c r="AB450" s="49" t="s">
        <v>23</v>
      </c>
      <c r="AC450" s="46" t="s">
        <v>26</v>
      </c>
      <c r="AD450" s="46" t="s">
        <v>27</v>
      </c>
      <c r="AE450" s="46" t="s">
        <v>89</v>
      </c>
      <c r="AF450" s="46" t="s">
        <v>29</v>
      </c>
      <c r="AG450" s="103"/>
      <c r="AH450" s="52">
        <v>27946</v>
      </c>
      <c r="AI450" s="52">
        <v>27946</v>
      </c>
      <c r="AJ450" s="102">
        <v>48.1</v>
      </c>
      <c r="AK450" s="104">
        <v>96.2</v>
      </c>
      <c r="AL450" s="102">
        <v>48.1</v>
      </c>
      <c r="AM450" s="102"/>
      <c r="AN450" s="53">
        <f t="shared" si="227"/>
        <v>96.2</v>
      </c>
      <c r="AO450" s="53">
        <v>27.73</v>
      </c>
      <c r="AP450" s="102"/>
      <c r="AQ450" s="102"/>
      <c r="AR450" s="102"/>
      <c r="AS450" s="102"/>
      <c r="AT450" s="102"/>
      <c r="AU450" s="102"/>
      <c r="AV450" s="102"/>
      <c r="AW450" s="102"/>
      <c r="AX450" s="102"/>
      <c r="AY450" s="102"/>
      <c r="AZ450" s="102"/>
      <c r="BA450" s="102"/>
      <c r="BB450" s="102"/>
      <c r="BC450" s="102"/>
      <c r="BD450" s="102"/>
      <c r="BE450" s="102"/>
      <c r="BF450" s="102"/>
      <c r="BG450" s="102"/>
      <c r="BH450" s="102"/>
      <c r="BI450" s="102"/>
      <c r="BJ450" s="102"/>
      <c r="BK450" s="102"/>
      <c r="BL450" s="102"/>
      <c r="BM450" s="102"/>
      <c r="BN450" s="102"/>
      <c r="BO450" s="102"/>
      <c r="BP450" s="102"/>
      <c r="BQ450" s="102"/>
      <c r="BR450" s="102"/>
      <c r="BS450" s="54" t="s">
        <v>23</v>
      </c>
      <c r="BT450" s="45" t="str">
        <f t="shared" si="219"/>
        <v>Yes</v>
      </c>
      <c r="BU450" s="45" t="str">
        <f t="shared" si="220"/>
        <v>No</v>
      </c>
      <c r="BV450" s="45" t="str">
        <f t="shared" si="221"/>
        <v>No</v>
      </c>
      <c r="BW450" s="55">
        <v>67.306300830656127</v>
      </c>
      <c r="BX450" s="55">
        <v>67.306300830656127</v>
      </c>
      <c r="BY450" s="55">
        <v>68.536300830656131</v>
      </c>
      <c r="BZ450" s="55">
        <f t="shared" si="233"/>
        <v>68.536300830656131</v>
      </c>
      <c r="CA450" s="45">
        <v>2004</v>
      </c>
      <c r="CB450" s="55">
        <f t="shared" si="230"/>
        <v>45.400048736901958</v>
      </c>
      <c r="CC450" s="46" t="s">
        <v>355</v>
      </c>
      <c r="CD450" s="46" t="s">
        <v>179</v>
      </c>
      <c r="CE450" s="46" t="s">
        <v>179</v>
      </c>
      <c r="CF450" s="46">
        <v>1</v>
      </c>
      <c r="CG450" s="46" t="str">
        <f t="shared" si="231"/>
        <v>No</v>
      </c>
      <c r="CH450" s="46" t="s">
        <v>35</v>
      </c>
      <c r="CI450" s="56">
        <v>0</v>
      </c>
      <c r="CJ450" s="46">
        <v>20</v>
      </c>
      <c r="CK450" s="46" t="s">
        <v>23</v>
      </c>
      <c r="CL450" s="49" t="s">
        <v>29</v>
      </c>
      <c r="CM450" s="50">
        <v>0</v>
      </c>
      <c r="CN450" s="50"/>
      <c r="CO450" s="50"/>
      <c r="CP450" s="46" t="s">
        <v>23</v>
      </c>
      <c r="CQ450" s="46" t="s">
        <v>24</v>
      </c>
      <c r="CR450" s="46">
        <v>7</v>
      </c>
      <c r="CS450" s="46" t="s">
        <v>854</v>
      </c>
      <c r="CT450" s="46" t="s">
        <v>53</v>
      </c>
      <c r="CU450" s="46" t="s">
        <v>29</v>
      </c>
      <c r="CV450" s="46" t="s">
        <v>23</v>
      </c>
      <c r="CW450" s="46" t="s">
        <v>23</v>
      </c>
      <c r="CX450" s="49" t="s">
        <v>928</v>
      </c>
      <c r="CY450" s="49" t="s">
        <v>295</v>
      </c>
      <c r="CZ450" s="49">
        <v>0</v>
      </c>
      <c r="DA450" s="49">
        <v>0</v>
      </c>
      <c r="DB450" s="64">
        <v>61555</v>
      </c>
      <c r="DC450" s="58">
        <v>62.250000000000007</v>
      </c>
      <c r="DD450" s="58">
        <v>2.33</v>
      </c>
      <c r="DE450" s="58">
        <v>13.52</v>
      </c>
      <c r="DF450" s="58">
        <v>17.7</v>
      </c>
      <c r="DG450" s="58">
        <v>4.2000000000000037</v>
      </c>
      <c r="DH450" s="58">
        <v>37.749999999999993</v>
      </c>
      <c r="DI450" s="45" t="s">
        <v>29</v>
      </c>
      <c r="DJ450" s="59" t="str">
        <f t="shared" si="232"/>
        <v>N/A</v>
      </c>
      <c r="DK450" s="65">
        <v>61555</v>
      </c>
      <c r="DL450" s="58">
        <v>62.250000000000007</v>
      </c>
      <c r="DM450" s="58">
        <v>2.33</v>
      </c>
      <c r="DN450" s="58">
        <v>13.52</v>
      </c>
      <c r="DO450" s="58">
        <v>37.749999999999993</v>
      </c>
      <c r="DP450" s="66">
        <v>49.1</v>
      </c>
      <c r="DQ450" s="67">
        <v>95500.02</v>
      </c>
      <c r="DR450" s="53">
        <v>7.8</v>
      </c>
      <c r="DS450" s="58">
        <v>70.599999999999994</v>
      </c>
      <c r="DT450" s="53">
        <v>46.1</v>
      </c>
      <c r="DU450" s="55">
        <v>2.58</v>
      </c>
      <c r="DV450" s="102">
        <v>33.4</v>
      </c>
      <c r="DW450" s="53">
        <v>86.9</v>
      </c>
      <c r="DX450" s="53">
        <v>64.908199999999994</v>
      </c>
      <c r="DY450" s="53">
        <v>34.784500000000001</v>
      </c>
      <c r="DZ450" s="63"/>
    </row>
    <row r="451" spans="1:130" s="5" customFormat="1" ht="14.25" hidden="1" customHeight="1">
      <c r="A451" s="45">
        <v>1425</v>
      </c>
      <c r="B451" s="46" t="s">
        <v>384</v>
      </c>
      <c r="C451" s="47">
        <v>2004</v>
      </c>
      <c r="D451" s="47" t="s">
        <v>394</v>
      </c>
      <c r="E451" s="46" t="s">
        <v>22</v>
      </c>
      <c r="F451" s="46">
        <v>4</v>
      </c>
      <c r="G451" s="48">
        <v>11000</v>
      </c>
      <c r="H451" s="46" t="s">
        <v>332</v>
      </c>
      <c r="I451" s="46">
        <v>1</v>
      </c>
      <c r="J451" s="46">
        <v>2</v>
      </c>
      <c r="K451" s="49" t="s">
        <v>386</v>
      </c>
      <c r="L451" s="49" t="s">
        <v>30</v>
      </c>
      <c r="M451" s="49" t="s">
        <v>29</v>
      </c>
      <c r="N451" s="49" t="s">
        <v>513</v>
      </c>
      <c r="O451" s="49"/>
      <c r="P451" s="49" t="s">
        <v>31</v>
      </c>
      <c r="Q451" s="49" t="s">
        <v>29</v>
      </c>
      <c r="R451" s="49">
        <v>0</v>
      </c>
      <c r="S451" s="50">
        <f t="shared" si="223"/>
        <v>0</v>
      </c>
      <c r="T451" s="49">
        <v>0</v>
      </c>
      <c r="U451" s="50">
        <f t="shared" si="224"/>
        <v>0</v>
      </c>
      <c r="V451" s="45"/>
      <c r="W451" s="49">
        <v>0</v>
      </c>
      <c r="X451" s="50">
        <f t="shared" si="225"/>
        <v>0</v>
      </c>
      <c r="Y451" s="51" t="str">
        <f t="shared" si="226"/>
        <v>No</v>
      </c>
      <c r="Z451" s="49" t="s">
        <v>29</v>
      </c>
      <c r="AA451" s="49" t="s">
        <v>29</v>
      </c>
      <c r="AB451" s="49" t="s">
        <v>29</v>
      </c>
      <c r="AC451" s="46" t="s">
        <v>26</v>
      </c>
      <c r="AD451" s="46" t="s">
        <v>27</v>
      </c>
      <c r="AE451" s="46" t="s">
        <v>89</v>
      </c>
      <c r="AF451" s="46" t="s">
        <v>29</v>
      </c>
      <c r="AG451" s="103"/>
      <c r="AH451" s="52">
        <v>26598</v>
      </c>
      <c r="AI451" s="52">
        <v>26598</v>
      </c>
      <c r="AJ451" s="102">
        <v>80.06</v>
      </c>
      <c r="AK451" s="104">
        <v>160.12</v>
      </c>
      <c r="AL451" s="102">
        <v>80.06</v>
      </c>
      <c r="AM451" s="102"/>
      <c r="AN451" s="53">
        <f t="shared" si="227"/>
        <v>160.12</v>
      </c>
      <c r="AO451" s="53">
        <v>19.940000000000001</v>
      </c>
      <c r="AP451" s="102"/>
      <c r="AQ451" s="102"/>
      <c r="AR451" s="102"/>
      <c r="AS451" s="102"/>
      <c r="AT451" s="102"/>
      <c r="AU451" s="102"/>
      <c r="AV451" s="102"/>
      <c r="AW451" s="102"/>
      <c r="AX451" s="102"/>
      <c r="AY451" s="102"/>
      <c r="AZ451" s="102"/>
      <c r="BA451" s="102"/>
      <c r="BB451" s="102"/>
      <c r="BC451" s="102"/>
      <c r="BD451" s="102"/>
      <c r="BE451" s="102"/>
      <c r="BF451" s="102"/>
      <c r="BG451" s="102"/>
      <c r="BH451" s="102"/>
      <c r="BI451" s="102"/>
      <c r="BJ451" s="102"/>
      <c r="BK451" s="102"/>
      <c r="BL451" s="102"/>
      <c r="BM451" s="102"/>
      <c r="BN451" s="102"/>
      <c r="BO451" s="102"/>
      <c r="BP451" s="102"/>
      <c r="BQ451" s="102"/>
      <c r="BR451" s="102"/>
      <c r="BS451" s="54" t="s">
        <v>23</v>
      </c>
      <c r="BT451" s="45" t="str">
        <f t="shared" si="219"/>
        <v>No</v>
      </c>
      <c r="BU451" s="45" t="str">
        <f t="shared" si="220"/>
        <v>No</v>
      </c>
      <c r="BV451" s="45" t="str">
        <f t="shared" si="221"/>
        <v>No</v>
      </c>
      <c r="BW451" s="55">
        <v>67.306300830656099</v>
      </c>
      <c r="BX451" s="55">
        <v>67.306300830656099</v>
      </c>
      <c r="BY451" s="55">
        <v>68.536300830656089</v>
      </c>
      <c r="BZ451" s="55">
        <f t="shared" si="233"/>
        <v>68.536300830656103</v>
      </c>
      <c r="CA451" s="45">
        <v>2004</v>
      </c>
      <c r="CB451" s="55">
        <f t="shared" si="230"/>
        <v>43.210137275607181</v>
      </c>
      <c r="CC451" s="46" t="s">
        <v>355</v>
      </c>
      <c r="CD451" s="46" t="s">
        <v>179</v>
      </c>
      <c r="CE451" s="46" t="s">
        <v>179</v>
      </c>
      <c r="CF451" s="46">
        <v>1</v>
      </c>
      <c r="CG451" s="46" t="str">
        <f t="shared" si="231"/>
        <v>No</v>
      </c>
      <c r="CH451" s="46" t="s">
        <v>35</v>
      </c>
      <c r="CI451" s="56">
        <v>0</v>
      </c>
      <c r="CJ451" s="46">
        <v>20</v>
      </c>
      <c r="CK451" s="46" t="s">
        <v>23</v>
      </c>
      <c r="CL451" s="49" t="s">
        <v>29</v>
      </c>
      <c r="CM451" s="50">
        <v>0</v>
      </c>
      <c r="CN451" s="50"/>
      <c r="CO451" s="50"/>
      <c r="CP451" s="46" t="s">
        <v>23</v>
      </c>
      <c r="CQ451" s="46" t="s">
        <v>24</v>
      </c>
      <c r="CR451" s="46">
        <v>7</v>
      </c>
      <c r="CS451" s="46" t="s">
        <v>854</v>
      </c>
      <c r="CT451" s="46" t="s">
        <v>53</v>
      </c>
      <c r="CU451" s="46" t="s">
        <v>29</v>
      </c>
      <c r="CV451" s="46" t="s">
        <v>23</v>
      </c>
      <c r="CW451" s="46" t="s">
        <v>23</v>
      </c>
      <c r="CX451" s="49" t="s">
        <v>928</v>
      </c>
      <c r="CY451" s="49" t="s">
        <v>295</v>
      </c>
      <c r="CZ451" s="49">
        <v>0</v>
      </c>
      <c r="DA451" s="49">
        <v>0</v>
      </c>
      <c r="DB451" s="64">
        <v>61555</v>
      </c>
      <c r="DC451" s="58">
        <v>62.250000000000007</v>
      </c>
      <c r="DD451" s="58">
        <v>2.33</v>
      </c>
      <c r="DE451" s="58">
        <v>13.52</v>
      </c>
      <c r="DF451" s="58">
        <v>17.7</v>
      </c>
      <c r="DG451" s="58">
        <v>4.2000000000000037</v>
      </c>
      <c r="DH451" s="58">
        <v>37.749999999999993</v>
      </c>
      <c r="DI451" s="45" t="s">
        <v>29</v>
      </c>
      <c r="DJ451" s="59" t="str">
        <f t="shared" si="232"/>
        <v>N/A</v>
      </c>
      <c r="DK451" s="65">
        <v>61555</v>
      </c>
      <c r="DL451" s="58">
        <v>62.250000000000007</v>
      </c>
      <c r="DM451" s="58">
        <v>2.33</v>
      </c>
      <c r="DN451" s="58">
        <v>13.52</v>
      </c>
      <c r="DO451" s="58">
        <v>37.749999999999993</v>
      </c>
      <c r="DP451" s="66">
        <v>49.1</v>
      </c>
      <c r="DQ451" s="67">
        <v>95500.02</v>
      </c>
      <c r="DR451" s="53">
        <v>7.8</v>
      </c>
      <c r="DS451" s="58">
        <v>70.599999999999994</v>
      </c>
      <c r="DT451" s="53">
        <v>46.1</v>
      </c>
      <c r="DU451" s="55">
        <v>2.58</v>
      </c>
      <c r="DV451" s="102">
        <v>33.4</v>
      </c>
      <c r="DW451" s="53">
        <v>86.9</v>
      </c>
      <c r="DX451" s="53">
        <v>64.908199999999994</v>
      </c>
      <c r="DY451" s="53">
        <v>34.784500000000001</v>
      </c>
      <c r="DZ451" s="63"/>
    </row>
    <row r="452" spans="1:130" s="5" customFormat="1" ht="14.25" hidden="1" customHeight="1">
      <c r="A452" s="45">
        <v>1427</v>
      </c>
      <c r="B452" s="46" t="s">
        <v>384</v>
      </c>
      <c r="C452" s="47">
        <v>2004</v>
      </c>
      <c r="D452" s="47" t="s">
        <v>396</v>
      </c>
      <c r="E452" s="46" t="s">
        <v>22</v>
      </c>
      <c r="F452" s="46">
        <v>4</v>
      </c>
      <c r="G452" s="48">
        <v>11000</v>
      </c>
      <c r="H452" s="46" t="s">
        <v>332</v>
      </c>
      <c r="I452" s="46">
        <v>1</v>
      </c>
      <c r="J452" s="46">
        <v>3</v>
      </c>
      <c r="K452" s="49" t="s">
        <v>401</v>
      </c>
      <c r="L452" s="49" t="s">
        <v>40</v>
      </c>
      <c r="M452" s="49" t="s">
        <v>35</v>
      </c>
      <c r="N452" s="49" t="s">
        <v>512</v>
      </c>
      <c r="O452" s="49"/>
      <c r="P452" s="49" t="s">
        <v>31</v>
      </c>
      <c r="Q452" s="49" t="s">
        <v>29</v>
      </c>
      <c r="R452" s="49">
        <v>1</v>
      </c>
      <c r="S452" s="50">
        <f t="shared" si="223"/>
        <v>33.333333333333329</v>
      </c>
      <c r="T452" s="49">
        <v>0</v>
      </c>
      <c r="U452" s="50">
        <f t="shared" si="224"/>
        <v>0</v>
      </c>
      <c r="V452" s="45"/>
      <c r="W452" s="49">
        <v>0</v>
      </c>
      <c r="X452" s="50">
        <f t="shared" si="225"/>
        <v>0</v>
      </c>
      <c r="Y452" s="51" t="str">
        <f t="shared" si="226"/>
        <v>No</v>
      </c>
      <c r="Z452" s="49" t="s">
        <v>35</v>
      </c>
      <c r="AA452" s="49" t="s">
        <v>23</v>
      </c>
      <c r="AB452" s="49" t="s">
        <v>23</v>
      </c>
      <c r="AC452" s="46" t="s">
        <v>26</v>
      </c>
      <c r="AD452" s="46" t="s">
        <v>27</v>
      </c>
      <c r="AE452" s="46" t="s">
        <v>89</v>
      </c>
      <c r="AF452" s="46" t="s">
        <v>29</v>
      </c>
      <c r="AG452" s="103"/>
      <c r="AH452" s="52">
        <v>27246</v>
      </c>
      <c r="AI452" s="52">
        <v>27246</v>
      </c>
      <c r="AJ452" s="102">
        <v>52.6</v>
      </c>
      <c r="AK452" s="104">
        <v>105.2</v>
      </c>
      <c r="AL452" s="102">
        <v>52.6</v>
      </c>
      <c r="AM452" s="102"/>
      <c r="AN452" s="53">
        <f t="shared" si="227"/>
        <v>105.2</v>
      </c>
      <c r="AO452" s="53">
        <v>33.979999999999997</v>
      </c>
      <c r="AP452" s="102"/>
      <c r="AQ452" s="102"/>
      <c r="AR452" s="102"/>
      <c r="AS452" s="102"/>
      <c r="AT452" s="102"/>
      <c r="AU452" s="102"/>
      <c r="AV452" s="102"/>
      <c r="AW452" s="102"/>
      <c r="AX452" s="102"/>
      <c r="AY452" s="102"/>
      <c r="AZ452" s="102"/>
      <c r="BA452" s="102"/>
      <c r="BB452" s="102"/>
      <c r="BC452" s="102"/>
      <c r="BD452" s="102"/>
      <c r="BE452" s="102"/>
      <c r="BF452" s="102"/>
      <c r="BG452" s="102"/>
      <c r="BH452" s="102"/>
      <c r="BI452" s="102"/>
      <c r="BJ452" s="102"/>
      <c r="BK452" s="102"/>
      <c r="BL452" s="102"/>
      <c r="BM452" s="102"/>
      <c r="BN452" s="102"/>
      <c r="BO452" s="102"/>
      <c r="BP452" s="102"/>
      <c r="BQ452" s="102"/>
      <c r="BR452" s="102"/>
      <c r="BS452" s="54" t="s">
        <v>23</v>
      </c>
      <c r="BT452" s="45" t="str">
        <f t="shared" si="219"/>
        <v>Yes</v>
      </c>
      <c r="BU452" s="45" t="str">
        <f t="shared" si="220"/>
        <v>No</v>
      </c>
      <c r="BV452" s="45" t="str">
        <f t="shared" si="221"/>
        <v>No</v>
      </c>
      <c r="BW452" s="55">
        <v>67.306300830656099</v>
      </c>
      <c r="BX452" s="55">
        <v>67.306300830656099</v>
      </c>
      <c r="BY452" s="55">
        <v>68.536300830656089</v>
      </c>
      <c r="BZ452" s="55">
        <f t="shared" si="233"/>
        <v>68.536300830656103</v>
      </c>
      <c r="CA452" s="45">
        <v>2004</v>
      </c>
      <c r="CB452" s="55">
        <f t="shared" si="230"/>
        <v>44.262854357891321</v>
      </c>
      <c r="CC452" s="46" t="s">
        <v>355</v>
      </c>
      <c r="CD452" s="46" t="s">
        <v>179</v>
      </c>
      <c r="CE452" s="46" t="s">
        <v>179</v>
      </c>
      <c r="CF452" s="46">
        <v>1</v>
      </c>
      <c r="CG452" s="46" t="str">
        <f t="shared" si="231"/>
        <v>No</v>
      </c>
      <c r="CH452" s="46" t="s">
        <v>35</v>
      </c>
      <c r="CI452" s="56">
        <v>0</v>
      </c>
      <c r="CJ452" s="46">
        <v>20</v>
      </c>
      <c r="CK452" s="46" t="s">
        <v>23</v>
      </c>
      <c r="CL452" s="49" t="s">
        <v>29</v>
      </c>
      <c r="CM452" s="50">
        <v>0</v>
      </c>
      <c r="CN452" s="50"/>
      <c r="CO452" s="50"/>
      <c r="CP452" s="46" t="s">
        <v>23</v>
      </c>
      <c r="CQ452" s="46" t="s">
        <v>24</v>
      </c>
      <c r="CR452" s="46">
        <v>7</v>
      </c>
      <c r="CS452" s="46" t="s">
        <v>854</v>
      </c>
      <c r="CT452" s="46" t="s">
        <v>53</v>
      </c>
      <c r="CU452" s="46" t="s">
        <v>29</v>
      </c>
      <c r="CV452" s="46" t="s">
        <v>23</v>
      </c>
      <c r="CW452" s="46" t="s">
        <v>23</v>
      </c>
      <c r="CX452" s="49" t="s">
        <v>928</v>
      </c>
      <c r="CY452" s="49" t="s">
        <v>295</v>
      </c>
      <c r="CZ452" s="49">
        <v>0</v>
      </c>
      <c r="DA452" s="49">
        <v>0</v>
      </c>
      <c r="DB452" s="64">
        <v>61555</v>
      </c>
      <c r="DC452" s="58">
        <v>62.250000000000007</v>
      </c>
      <c r="DD452" s="58">
        <v>2.33</v>
      </c>
      <c r="DE452" s="58">
        <v>13.52</v>
      </c>
      <c r="DF452" s="58">
        <v>17.7</v>
      </c>
      <c r="DG452" s="58">
        <v>4.2000000000000037</v>
      </c>
      <c r="DH452" s="58">
        <v>37.749999999999993</v>
      </c>
      <c r="DI452" s="45" t="s">
        <v>29</v>
      </c>
      <c r="DJ452" s="59" t="str">
        <f t="shared" si="232"/>
        <v>N/A</v>
      </c>
      <c r="DK452" s="65">
        <v>61555</v>
      </c>
      <c r="DL452" s="58">
        <v>62.250000000000007</v>
      </c>
      <c r="DM452" s="58">
        <v>2.33</v>
      </c>
      <c r="DN452" s="58">
        <v>13.52</v>
      </c>
      <c r="DO452" s="58">
        <v>37.749999999999993</v>
      </c>
      <c r="DP452" s="66">
        <v>49.1</v>
      </c>
      <c r="DQ452" s="67">
        <v>95500.02</v>
      </c>
      <c r="DR452" s="53">
        <v>7.8</v>
      </c>
      <c r="DS452" s="58">
        <v>70.599999999999994</v>
      </c>
      <c r="DT452" s="53">
        <v>46.1</v>
      </c>
      <c r="DU452" s="55">
        <v>2.58</v>
      </c>
      <c r="DV452" s="102">
        <v>33.4</v>
      </c>
      <c r="DW452" s="53">
        <v>86.9</v>
      </c>
      <c r="DX452" s="53">
        <v>64.908199999999994</v>
      </c>
      <c r="DY452" s="53">
        <v>34.784500000000001</v>
      </c>
      <c r="DZ452" s="63"/>
    </row>
    <row r="453" spans="1:130" s="5" customFormat="1" ht="14.25" hidden="1" customHeight="1">
      <c r="A453" s="45">
        <v>1421</v>
      </c>
      <c r="B453" s="46" t="s">
        <v>384</v>
      </c>
      <c r="C453" s="47">
        <v>2006</v>
      </c>
      <c r="D453" s="47" t="s">
        <v>385</v>
      </c>
      <c r="E453" s="46" t="s">
        <v>22</v>
      </c>
      <c r="F453" s="46">
        <v>4</v>
      </c>
      <c r="G453" s="48">
        <v>11000</v>
      </c>
      <c r="H453" s="46" t="s">
        <v>332</v>
      </c>
      <c r="I453" s="46">
        <v>1</v>
      </c>
      <c r="J453" s="46">
        <v>2</v>
      </c>
      <c r="K453" s="49" t="s">
        <v>388</v>
      </c>
      <c r="L453" s="49" t="s">
        <v>30</v>
      </c>
      <c r="M453" s="49" t="s">
        <v>29</v>
      </c>
      <c r="N453" s="49" t="s">
        <v>513</v>
      </c>
      <c r="O453" s="49"/>
      <c r="P453" s="49" t="s">
        <v>31</v>
      </c>
      <c r="Q453" s="49" t="s">
        <v>29</v>
      </c>
      <c r="R453" s="49">
        <v>1</v>
      </c>
      <c r="S453" s="50">
        <f t="shared" si="223"/>
        <v>50</v>
      </c>
      <c r="T453" s="49">
        <v>0</v>
      </c>
      <c r="U453" s="50">
        <f t="shared" si="224"/>
        <v>0</v>
      </c>
      <c r="V453" s="45"/>
      <c r="W453" s="49">
        <v>0</v>
      </c>
      <c r="X453" s="50">
        <f t="shared" si="225"/>
        <v>0</v>
      </c>
      <c r="Y453" s="51" t="str">
        <f t="shared" si="226"/>
        <v>No</v>
      </c>
      <c r="Z453" s="49" t="s">
        <v>29</v>
      </c>
      <c r="AA453" s="49" t="s">
        <v>29</v>
      </c>
      <c r="AB453" s="49" t="s">
        <v>29</v>
      </c>
      <c r="AC453" s="46" t="s">
        <v>26</v>
      </c>
      <c r="AD453" s="46" t="s">
        <v>27</v>
      </c>
      <c r="AE453" s="46" t="s">
        <v>73</v>
      </c>
      <c r="AF453" s="46" t="s">
        <v>29</v>
      </c>
      <c r="AG453" s="107"/>
      <c r="AH453" s="70">
        <f>SUM(11905+9509)</f>
        <v>21414</v>
      </c>
      <c r="AI453" s="70">
        <f>SUM(11905+9509)</f>
        <v>21414</v>
      </c>
      <c r="AJ453" s="102">
        <v>55.59</v>
      </c>
      <c r="AK453" s="104">
        <v>111.18</v>
      </c>
      <c r="AL453" s="102">
        <v>55.59</v>
      </c>
      <c r="AM453" s="102"/>
      <c r="AN453" s="53">
        <f t="shared" si="227"/>
        <v>111.18</v>
      </c>
      <c r="AO453" s="53">
        <v>44.41</v>
      </c>
      <c r="AP453" s="102"/>
      <c r="AQ453" s="102"/>
      <c r="AR453" s="102"/>
      <c r="AS453" s="102"/>
      <c r="AT453" s="102"/>
      <c r="AU453" s="102"/>
      <c r="AV453" s="102"/>
      <c r="AW453" s="102"/>
      <c r="AX453" s="102"/>
      <c r="AY453" s="102"/>
      <c r="AZ453" s="102"/>
      <c r="BA453" s="102"/>
      <c r="BB453" s="102"/>
      <c r="BC453" s="102"/>
      <c r="BD453" s="102"/>
      <c r="BE453" s="102"/>
      <c r="BF453" s="102"/>
      <c r="BG453" s="102"/>
      <c r="BH453" s="102"/>
      <c r="BI453" s="102"/>
      <c r="BJ453" s="102"/>
      <c r="BK453" s="102"/>
      <c r="BL453" s="102"/>
      <c r="BM453" s="102"/>
      <c r="BN453" s="102"/>
      <c r="BO453" s="102"/>
      <c r="BP453" s="102"/>
      <c r="BQ453" s="102"/>
      <c r="BR453" s="102"/>
      <c r="BS453" s="54" t="s">
        <v>23</v>
      </c>
      <c r="BT453" s="45" t="str">
        <f t="shared" si="219"/>
        <v>Yes</v>
      </c>
      <c r="BU453" s="45" t="str">
        <f t="shared" si="220"/>
        <v>Yes</v>
      </c>
      <c r="BV453" s="45" t="str">
        <f t="shared" si="221"/>
        <v>No</v>
      </c>
      <c r="BW453" s="55">
        <v>67.306300830656127</v>
      </c>
      <c r="BX453" s="55">
        <v>67.306300830656099</v>
      </c>
      <c r="BY453" s="55">
        <v>68.536300830656131</v>
      </c>
      <c r="BZ453" s="55">
        <f t="shared" si="233"/>
        <v>68.536300830656103</v>
      </c>
      <c r="CA453" s="45">
        <v>2004</v>
      </c>
      <c r="CB453" s="55">
        <f t="shared" si="230"/>
        <v>34.047221559742432</v>
      </c>
      <c r="CC453" s="46" t="s">
        <v>355</v>
      </c>
      <c r="CD453" s="46" t="s">
        <v>179</v>
      </c>
      <c r="CE453" s="46" t="s">
        <v>179</v>
      </c>
      <c r="CF453" s="46">
        <v>1</v>
      </c>
      <c r="CG453" s="46" t="str">
        <f t="shared" si="231"/>
        <v>No</v>
      </c>
      <c r="CH453" s="46" t="s">
        <v>35</v>
      </c>
      <c r="CI453" s="56">
        <v>0</v>
      </c>
      <c r="CJ453" s="46">
        <v>20</v>
      </c>
      <c r="CK453" s="46" t="s">
        <v>23</v>
      </c>
      <c r="CL453" s="49" t="s">
        <v>29</v>
      </c>
      <c r="CM453" s="50">
        <v>0</v>
      </c>
      <c r="CN453" s="50"/>
      <c r="CO453" s="50"/>
      <c r="CP453" s="46" t="s">
        <v>23</v>
      </c>
      <c r="CQ453" s="46" t="s">
        <v>24</v>
      </c>
      <c r="CR453" s="46">
        <v>7</v>
      </c>
      <c r="CS453" s="46" t="s">
        <v>854</v>
      </c>
      <c r="CT453" s="46" t="s">
        <v>53</v>
      </c>
      <c r="CU453" s="46" t="s">
        <v>29</v>
      </c>
      <c r="CV453" s="46" t="s">
        <v>23</v>
      </c>
      <c r="CW453" s="46" t="s">
        <v>23</v>
      </c>
      <c r="CX453" s="49" t="s">
        <v>564</v>
      </c>
      <c r="CY453" s="49" t="s">
        <v>295</v>
      </c>
      <c r="CZ453" s="49">
        <v>0</v>
      </c>
      <c r="DA453" s="49">
        <v>0</v>
      </c>
      <c r="DB453" s="64">
        <v>62895</v>
      </c>
      <c r="DC453" s="58">
        <v>52.669999999999995</v>
      </c>
      <c r="DD453" s="58">
        <v>3.19</v>
      </c>
      <c r="DE453" s="58">
        <v>14.879999999999999</v>
      </c>
      <c r="DF453" s="58">
        <v>26.179999999999996</v>
      </c>
      <c r="DG453" s="58">
        <v>3.0799999999999939</v>
      </c>
      <c r="DH453" s="58">
        <v>47.330000000000005</v>
      </c>
      <c r="DI453" s="45" t="s">
        <v>29</v>
      </c>
      <c r="DJ453" s="59" t="str">
        <f t="shared" si="232"/>
        <v>N/A</v>
      </c>
      <c r="DK453" s="65">
        <v>62895</v>
      </c>
      <c r="DL453" s="58">
        <v>52.669999999999995</v>
      </c>
      <c r="DM453" s="58">
        <v>3.19</v>
      </c>
      <c r="DN453" s="58">
        <v>14.879999999999999</v>
      </c>
      <c r="DO453" s="58">
        <v>47.330000000000005</v>
      </c>
      <c r="DP453" s="66">
        <v>47.6</v>
      </c>
      <c r="DQ453" s="67">
        <v>91741.72</v>
      </c>
      <c r="DR453" s="53">
        <v>9.3000000000000007</v>
      </c>
      <c r="DS453" s="58">
        <v>71.5</v>
      </c>
      <c r="DT453" s="53">
        <v>45.8</v>
      </c>
      <c r="DU453" s="55">
        <v>2.57</v>
      </c>
      <c r="DV453" s="102">
        <v>34.299999999999997</v>
      </c>
      <c r="DW453" s="53">
        <v>90.1</v>
      </c>
      <c r="DX453" s="53">
        <v>69.78</v>
      </c>
      <c r="DY453" s="53">
        <v>37.900199999999998</v>
      </c>
      <c r="DZ453" s="63"/>
    </row>
    <row r="454" spans="1:130" s="5" customFormat="1" ht="14.25" hidden="1" customHeight="1">
      <c r="A454" s="45">
        <v>1422</v>
      </c>
      <c r="B454" s="46" t="s">
        <v>384</v>
      </c>
      <c r="C454" s="47">
        <v>2006</v>
      </c>
      <c r="D454" s="47" t="s">
        <v>387</v>
      </c>
      <c r="E454" s="46" t="s">
        <v>22</v>
      </c>
      <c r="F454" s="46">
        <v>4</v>
      </c>
      <c r="G454" s="48">
        <v>11000</v>
      </c>
      <c r="H454" s="46" t="s">
        <v>332</v>
      </c>
      <c r="I454" s="46">
        <v>1</v>
      </c>
      <c r="J454" s="46">
        <v>3</v>
      </c>
      <c r="K454" s="49" t="s">
        <v>402</v>
      </c>
      <c r="L454" s="49" t="s">
        <v>30</v>
      </c>
      <c r="M454" s="49" t="s">
        <v>29</v>
      </c>
      <c r="N454" s="49" t="s">
        <v>512</v>
      </c>
      <c r="O454" s="49"/>
      <c r="P454" s="49" t="s">
        <v>31</v>
      </c>
      <c r="Q454" s="49" t="s">
        <v>29</v>
      </c>
      <c r="R454" s="49">
        <v>0</v>
      </c>
      <c r="S454" s="50">
        <f t="shared" si="223"/>
        <v>0</v>
      </c>
      <c r="T454" s="49">
        <v>0</v>
      </c>
      <c r="U454" s="50">
        <f t="shared" si="224"/>
        <v>0</v>
      </c>
      <c r="V454" s="45"/>
      <c r="W454" s="49">
        <v>0</v>
      </c>
      <c r="X454" s="50">
        <f t="shared" si="225"/>
        <v>0</v>
      </c>
      <c r="Y454" s="51" t="str">
        <f t="shared" si="226"/>
        <v>No</v>
      </c>
      <c r="Z454" s="49" t="s">
        <v>35</v>
      </c>
      <c r="AA454" s="49" t="s">
        <v>23</v>
      </c>
      <c r="AB454" s="49" t="s">
        <v>23</v>
      </c>
      <c r="AC454" s="46" t="s">
        <v>26</v>
      </c>
      <c r="AD454" s="46" t="s">
        <v>27</v>
      </c>
      <c r="AE454" s="46" t="s">
        <v>73</v>
      </c>
      <c r="AF454" s="46" t="s">
        <v>29</v>
      </c>
      <c r="AG454" s="103"/>
      <c r="AH454" s="52">
        <v>20292</v>
      </c>
      <c r="AI454" s="52">
        <v>20292</v>
      </c>
      <c r="AJ454" s="102">
        <v>50.13</v>
      </c>
      <c r="AK454" s="104">
        <v>100.26</v>
      </c>
      <c r="AL454" s="102">
        <v>50.13</v>
      </c>
      <c r="AM454" s="102"/>
      <c r="AN454" s="53">
        <f t="shared" si="227"/>
        <v>100.26</v>
      </c>
      <c r="AO454" s="53">
        <v>33.58</v>
      </c>
      <c r="AP454" s="102"/>
      <c r="AQ454" s="102"/>
      <c r="AR454" s="102"/>
      <c r="AS454" s="102"/>
      <c r="AT454" s="102"/>
      <c r="AU454" s="102"/>
      <c r="AV454" s="102"/>
      <c r="AW454" s="102"/>
      <c r="AX454" s="102"/>
      <c r="AY454" s="102"/>
      <c r="AZ454" s="102"/>
      <c r="BA454" s="102"/>
      <c r="BB454" s="102"/>
      <c r="BC454" s="102"/>
      <c r="BD454" s="102"/>
      <c r="BE454" s="102"/>
      <c r="BF454" s="102"/>
      <c r="BG454" s="102"/>
      <c r="BH454" s="102"/>
      <c r="BI454" s="102"/>
      <c r="BJ454" s="102"/>
      <c r="BK454" s="102"/>
      <c r="BL454" s="102"/>
      <c r="BM454" s="102"/>
      <c r="BN454" s="102"/>
      <c r="BO454" s="102"/>
      <c r="BP454" s="102"/>
      <c r="BQ454" s="102"/>
      <c r="BR454" s="102"/>
      <c r="BS454" s="54" t="s">
        <v>23</v>
      </c>
      <c r="BT454" s="45" t="str">
        <f t="shared" si="219"/>
        <v>Yes</v>
      </c>
      <c r="BU454" s="45" t="str">
        <f t="shared" si="220"/>
        <v>Yes</v>
      </c>
      <c r="BV454" s="45" t="str">
        <f t="shared" si="221"/>
        <v>No</v>
      </c>
      <c r="BW454" s="55">
        <v>67.306300830656127</v>
      </c>
      <c r="BX454" s="55">
        <v>67.306300830656099</v>
      </c>
      <c r="BY454" s="55">
        <v>68.536300830656131</v>
      </c>
      <c r="BZ454" s="55">
        <f t="shared" si="233"/>
        <v>68.536300830656103</v>
      </c>
      <c r="CA454" s="45">
        <v>2004</v>
      </c>
      <c r="CB454" s="55">
        <f t="shared" si="230"/>
        <v>32.263295969472935</v>
      </c>
      <c r="CC454" s="46" t="s">
        <v>355</v>
      </c>
      <c r="CD454" s="46" t="s">
        <v>179</v>
      </c>
      <c r="CE454" s="46" t="s">
        <v>179</v>
      </c>
      <c r="CF454" s="46">
        <v>1</v>
      </c>
      <c r="CG454" s="46" t="str">
        <f t="shared" si="231"/>
        <v>No</v>
      </c>
      <c r="CH454" s="46" t="s">
        <v>35</v>
      </c>
      <c r="CI454" s="56">
        <v>0</v>
      </c>
      <c r="CJ454" s="46">
        <v>20</v>
      </c>
      <c r="CK454" s="46" t="s">
        <v>23</v>
      </c>
      <c r="CL454" s="49" t="s">
        <v>29</v>
      </c>
      <c r="CM454" s="50">
        <v>0</v>
      </c>
      <c r="CN454" s="50"/>
      <c r="CO454" s="50"/>
      <c r="CP454" s="46" t="s">
        <v>23</v>
      </c>
      <c r="CQ454" s="46" t="s">
        <v>24</v>
      </c>
      <c r="CR454" s="46">
        <v>7</v>
      </c>
      <c r="CS454" s="46" t="s">
        <v>854</v>
      </c>
      <c r="CT454" s="46" t="s">
        <v>53</v>
      </c>
      <c r="CU454" s="46" t="s">
        <v>29</v>
      </c>
      <c r="CV454" s="46" t="s">
        <v>23</v>
      </c>
      <c r="CW454" s="46" t="s">
        <v>23</v>
      </c>
      <c r="CX454" s="49" t="s">
        <v>564</v>
      </c>
      <c r="CY454" s="49" t="s">
        <v>295</v>
      </c>
      <c r="CZ454" s="49">
        <v>0</v>
      </c>
      <c r="DA454" s="49">
        <v>0</v>
      </c>
      <c r="DB454" s="64">
        <v>62895</v>
      </c>
      <c r="DC454" s="58">
        <v>52.669999999999995</v>
      </c>
      <c r="DD454" s="58">
        <v>3.19</v>
      </c>
      <c r="DE454" s="58">
        <v>14.879999999999999</v>
      </c>
      <c r="DF454" s="58">
        <v>26.179999999999996</v>
      </c>
      <c r="DG454" s="58">
        <v>3.0799999999999939</v>
      </c>
      <c r="DH454" s="58">
        <v>47.330000000000005</v>
      </c>
      <c r="DI454" s="45" t="s">
        <v>29</v>
      </c>
      <c r="DJ454" s="59" t="str">
        <f t="shared" si="232"/>
        <v>N/A</v>
      </c>
      <c r="DK454" s="65">
        <v>62895</v>
      </c>
      <c r="DL454" s="58">
        <v>52.669999999999995</v>
      </c>
      <c r="DM454" s="58">
        <v>3.19</v>
      </c>
      <c r="DN454" s="58">
        <v>14.879999999999999</v>
      </c>
      <c r="DO454" s="58">
        <v>47.330000000000005</v>
      </c>
      <c r="DP454" s="66">
        <v>47.6</v>
      </c>
      <c r="DQ454" s="67">
        <v>91741.72</v>
      </c>
      <c r="DR454" s="53">
        <v>9.3000000000000007</v>
      </c>
      <c r="DS454" s="58">
        <v>71.5</v>
      </c>
      <c r="DT454" s="53">
        <v>45.8</v>
      </c>
      <c r="DU454" s="55">
        <v>2.57</v>
      </c>
      <c r="DV454" s="102">
        <v>34.299999999999997</v>
      </c>
      <c r="DW454" s="53">
        <v>90.1</v>
      </c>
      <c r="DX454" s="53">
        <v>69.78</v>
      </c>
      <c r="DY454" s="53">
        <v>37.900199999999998</v>
      </c>
      <c r="DZ454" s="63"/>
    </row>
    <row r="455" spans="1:130" s="5" customFormat="1" ht="14.25" hidden="1" customHeight="1">
      <c r="A455" s="45">
        <v>1423</v>
      </c>
      <c r="B455" s="46" t="s">
        <v>384</v>
      </c>
      <c r="C455" s="47">
        <v>2006</v>
      </c>
      <c r="D455" s="47" t="s">
        <v>38</v>
      </c>
      <c r="E455" s="46" t="s">
        <v>22</v>
      </c>
      <c r="F455" s="46">
        <v>4</v>
      </c>
      <c r="G455" s="48">
        <v>14000</v>
      </c>
      <c r="H455" s="46" t="s">
        <v>332</v>
      </c>
      <c r="I455" s="46">
        <v>1</v>
      </c>
      <c r="J455" s="46">
        <v>2</v>
      </c>
      <c r="K455" s="49" t="s">
        <v>398</v>
      </c>
      <c r="L455" s="49" t="s">
        <v>40</v>
      </c>
      <c r="M455" s="49" t="s">
        <v>35</v>
      </c>
      <c r="N455" s="49" t="s">
        <v>513</v>
      </c>
      <c r="O455" s="49"/>
      <c r="P455" s="49" t="s">
        <v>31</v>
      </c>
      <c r="Q455" s="49" t="s">
        <v>29</v>
      </c>
      <c r="R455" s="49">
        <v>1</v>
      </c>
      <c r="S455" s="50">
        <f t="shared" si="223"/>
        <v>50</v>
      </c>
      <c r="T455" s="49">
        <v>0</v>
      </c>
      <c r="U455" s="50">
        <f t="shared" si="224"/>
        <v>0</v>
      </c>
      <c r="V455" s="45"/>
      <c r="W455" s="49">
        <v>0</v>
      </c>
      <c r="X455" s="50">
        <f t="shared" si="225"/>
        <v>0</v>
      </c>
      <c r="Y455" s="51" t="str">
        <f t="shared" si="226"/>
        <v>No</v>
      </c>
      <c r="Z455" s="49" t="s">
        <v>29</v>
      </c>
      <c r="AA455" s="49" t="s">
        <v>29</v>
      </c>
      <c r="AB455" s="45" t="s">
        <v>35</v>
      </c>
      <c r="AC455" s="46" t="s">
        <v>26</v>
      </c>
      <c r="AD455" s="46" t="s">
        <v>27</v>
      </c>
      <c r="AE455" s="46" t="s">
        <v>73</v>
      </c>
      <c r="AF455" s="46" t="s">
        <v>29</v>
      </c>
      <c r="AG455" s="107"/>
      <c r="AH455" s="70">
        <f>SUM(15484+7036)</f>
        <v>22520</v>
      </c>
      <c r="AI455" s="70">
        <f>SUM(15484+7036)</f>
        <v>22520</v>
      </c>
      <c r="AJ455" s="102">
        <v>68.760000000000005</v>
      </c>
      <c r="AK455" s="104">
        <v>137.52000000000001</v>
      </c>
      <c r="AL455" s="102">
        <v>68.760000000000005</v>
      </c>
      <c r="AM455" s="102"/>
      <c r="AN455" s="53">
        <f t="shared" si="227"/>
        <v>137.52000000000001</v>
      </c>
      <c r="AO455" s="53">
        <v>31.24</v>
      </c>
      <c r="AP455" s="102"/>
      <c r="AQ455" s="102"/>
      <c r="AR455" s="102"/>
      <c r="AS455" s="102"/>
      <c r="AT455" s="102"/>
      <c r="AU455" s="102"/>
      <c r="AV455" s="102"/>
      <c r="AW455" s="102"/>
      <c r="AX455" s="102"/>
      <c r="AY455" s="102"/>
      <c r="AZ455" s="102"/>
      <c r="BA455" s="102"/>
      <c r="BB455" s="102"/>
      <c r="BC455" s="102"/>
      <c r="BD455" s="102"/>
      <c r="BE455" s="102"/>
      <c r="BF455" s="102"/>
      <c r="BG455" s="102"/>
      <c r="BH455" s="102"/>
      <c r="BI455" s="102"/>
      <c r="BJ455" s="102"/>
      <c r="BK455" s="102"/>
      <c r="BL455" s="102"/>
      <c r="BM455" s="102"/>
      <c r="BN455" s="102"/>
      <c r="BO455" s="102"/>
      <c r="BP455" s="102"/>
      <c r="BQ455" s="102"/>
      <c r="BR455" s="102"/>
      <c r="BS455" s="54" t="s">
        <v>23</v>
      </c>
      <c r="BT455" s="45" t="str">
        <f t="shared" si="219"/>
        <v>No</v>
      </c>
      <c r="BU455" s="45" t="str">
        <f t="shared" si="220"/>
        <v>No</v>
      </c>
      <c r="BV455" s="45" t="str">
        <f t="shared" si="221"/>
        <v>No</v>
      </c>
      <c r="BW455" s="55">
        <v>67.306300830656127</v>
      </c>
      <c r="BX455" s="55">
        <v>67.306300830656099</v>
      </c>
      <c r="BY455" s="55">
        <v>68.536300830656131</v>
      </c>
      <c r="BZ455" s="55">
        <f t="shared" si="233"/>
        <v>68.536300830656103</v>
      </c>
      <c r="CA455" s="45">
        <v>2004</v>
      </c>
      <c r="CB455" s="55">
        <f t="shared" si="230"/>
        <v>35.805707925908258</v>
      </c>
      <c r="CC455" s="46" t="s">
        <v>39</v>
      </c>
      <c r="CD455" s="46" t="s">
        <v>179</v>
      </c>
      <c r="CE455" s="46" t="s">
        <v>179</v>
      </c>
      <c r="CF455" s="46">
        <v>1</v>
      </c>
      <c r="CG455" s="46" t="str">
        <f t="shared" si="231"/>
        <v>No</v>
      </c>
      <c r="CH455" s="46" t="s">
        <v>35</v>
      </c>
      <c r="CI455" s="56">
        <v>0</v>
      </c>
      <c r="CJ455" s="46">
        <v>20</v>
      </c>
      <c r="CK455" s="46" t="s">
        <v>23</v>
      </c>
      <c r="CL455" s="49" t="s">
        <v>29</v>
      </c>
      <c r="CM455" s="50">
        <v>0</v>
      </c>
      <c r="CN455" s="50">
        <v>67883.212799999994</v>
      </c>
      <c r="CO455" s="50" t="s">
        <v>29</v>
      </c>
      <c r="CP455" s="46" t="s">
        <v>23</v>
      </c>
      <c r="CQ455" s="46" t="s">
        <v>23</v>
      </c>
      <c r="CR455" s="46">
        <v>7</v>
      </c>
      <c r="CS455" s="46" t="s">
        <v>854</v>
      </c>
      <c r="CT455" s="46" t="s">
        <v>53</v>
      </c>
      <c r="CU455" s="46" t="s">
        <v>29</v>
      </c>
      <c r="CV455" s="46" t="s">
        <v>23</v>
      </c>
      <c r="CW455" s="46" t="s">
        <v>23</v>
      </c>
      <c r="CX455" s="49" t="s">
        <v>564</v>
      </c>
      <c r="CY455" s="49" t="s">
        <v>295</v>
      </c>
      <c r="CZ455" s="49">
        <v>0</v>
      </c>
      <c r="DA455" s="49">
        <v>0</v>
      </c>
      <c r="DB455" s="64">
        <v>62895</v>
      </c>
      <c r="DC455" s="58">
        <v>52.669999999999995</v>
      </c>
      <c r="DD455" s="58">
        <v>3.19</v>
      </c>
      <c r="DE455" s="58">
        <v>14.879999999999999</v>
      </c>
      <c r="DF455" s="58">
        <v>26.179999999999996</v>
      </c>
      <c r="DG455" s="58">
        <v>3.0799999999999939</v>
      </c>
      <c r="DH455" s="58">
        <v>47.330000000000005</v>
      </c>
      <c r="DI455" s="45" t="s">
        <v>29</v>
      </c>
      <c r="DJ455" s="59" t="str">
        <f t="shared" si="232"/>
        <v>N/A</v>
      </c>
      <c r="DK455" s="65">
        <v>62895</v>
      </c>
      <c r="DL455" s="58">
        <v>52.669999999999995</v>
      </c>
      <c r="DM455" s="58">
        <v>3.19</v>
      </c>
      <c r="DN455" s="58">
        <v>14.879999999999999</v>
      </c>
      <c r="DO455" s="58">
        <v>47.330000000000005</v>
      </c>
      <c r="DP455" s="66">
        <v>47.6</v>
      </c>
      <c r="DQ455" s="67">
        <v>91741.72</v>
      </c>
      <c r="DR455" s="53">
        <v>9.3000000000000007</v>
      </c>
      <c r="DS455" s="58">
        <v>71.5</v>
      </c>
      <c r="DT455" s="53">
        <v>45.8</v>
      </c>
      <c r="DU455" s="55">
        <v>2.57</v>
      </c>
      <c r="DV455" s="102">
        <v>34.299999999999997</v>
      </c>
      <c r="DW455" s="53">
        <v>90.1</v>
      </c>
      <c r="DX455" s="53">
        <v>69.78</v>
      </c>
      <c r="DY455" s="53">
        <v>37.900199999999998</v>
      </c>
      <c r="DZ455" s="63"/>
    </row>
    <row r="456" spans="1:130" s="5" customFormat="1" ht="14.25" hidden="1" customHeight="1">
      <c r="A456" s="45">
        <v>1417</v>
      </c>
      <c r="B456" s="46" t="s">
        <v>384</v>
      </c>
      <c r="C456" s="47">
        <v>2008</v>
      </c>
      <c r="D456" s="47" t="s">
        <v>390</v>
      </c>
      <c r="E456" s="46" t="s">
        <v>22</v>
      </c>
      <c r="F456" s="46">
        <v>4</v>
      </c>
      <c r="G456" s="48">
        <v>11000</v>
      </c>
      <c r="H456" s="46" t="s">
        <v>332</v>
      </c>
      <c r="I456" s="46">
        <v>1</v>
      </c>
      <c r="J456" s="46">
        <v>3</v>
      </c>
      <c r="K456" s="49" t="s">
        <v>399</v>
      </c>
      <c r="L456" s="49" t="s">
        <v>30</v>
      </c>
      <c r="M456" s="49" t="s">
        <v>29</v>
      </c>
      <c r="N456" s="49" t="s">
        <v>513</v>
      </c>
      <c r="O456" s="49"/>
      <c r="P456" s="49" t="s">
        <v>31</v>
      </c>
      <c r="Q456" s="49" t="s">
        <v>29</v>
      </c>
      <c r="R456" s="49">
        <v>1</v>
      </c>
      <c r="S456" s="50">
        <f t="shared" si="223"/>
        <v>33.333333333333329</v>
      </c>
      <c r="T456" s="49">
        <v>0</v>
      </c>
      <c r="U456" s="50">
        <f t="shared" si="224"/>
        <v>0</v>
      </c>
      <c r="V456" s="45"/>
      <c r="W456" s="49">
        <v>0</v>
      </c>
      <c r="X456" s="50">
        <f t="shared" si="225"/>
        <v>0</v>
      </c>
      <c r="Y456" s="51" t="str">
        <f t="shared" si="226"/>
        <v>No</v>
      </c>
      <c r="Z456" s="49" t="s">
        <v>29</v>
      </c>
      <c r="AA456" s="49" t="s">
        <v>29</v>
      </c>
      <c r="AB456" s="49" t="s">
        <v>29</v>
      </c>
      <c r="AC456" s="46" t="s">
        <v>26</v>
      </c>
      <c r="AD456" s="46" t="s">
        <v>27</v>
      </c>
      <c r="AE456" s="46" t="s">
        <v>89</v>
      </c>
      <c r="AF456" s="46" t="s">
        <v>29</v>
      </c>
      <c r="AG456" s="107">
        <v>40046</v>
      </c>
      <c r="AH456" s="70">
        <f>SUM(17941+8603+4453)</f>
        <v>30997</v>
      </c>
      <c r="AI456" s="70">
        <f>SUM(17941+8603+4453)</f>
        <v>30997</v>
      </c>
      <c r="AJ456" s="102">
        <v>57.88</v>
      </c>
      <c r="AK456" s="104">
        <v>115.76</v>
      </c>
      <c r="AL456" s="102">
        <v>57.88</v>
      </c>
      <c r="AM456" s="102"/>
      <c r="AN456" s="53">
        <f t="shared" si="227"/>
        <v>115.76</v>
      </c>
      <c r="AO456" s="53">
        <v>27.75</v>
      </c>
      <c r="AP456" s="102">
        <f t="shared" ref="AP456:AP469" si="234">AG456-AI456</f>
        <v>9049</v>
      </c>
      <c r="AQ456" s="102">
        <f t="shared" ref="AQ456:AQ469" si="235">AP456/AG456 *100</f>
        <v>22.596514008889777</v>
      </c>
      <c r="AR456" s="102"/>
      <c r="AS456" s="102"/>
      <c r="AT456" s="102"/>
      <c r="AU456" s="102"/>
      <c r="AV456" s="102"/>
      <c r="AW456" s="102"/>
      <c r="AX456" s="102"/>
      <c r="AY456" s="102"/>
      <c r="AZ456" s="102"/>
      <c r="BA456" s="102"/>
      <c r="BB456" s="102"/>
      <c r="BC456" s="102"/>
      <c r="BD456" s="102"/>
      <c r="BE456" s="102"/>
      <c r="BF456" s="102"/>
      <c r="BG456" s="102"/>
      <c r="BH456" s="102"/>
      <c r="BI456" s="102"/>
      <c r="BJ456" s="102"/>
      <c r="BK456" s="102"/>
      <c r="BL456" s="102"/>
      <c r="BM456" s="102"/>
      <c r="BN456" s="102"/>
      <c r="BO456" s="102"/>
      <c r="BP456" s="102"/>
      <c r="BQ456" s="102"/>
      <c r="BR456" s="102"/>
      <c r="BS456" s="54" t="s">
        <v>23</v>
      </c>
      <c r="BT456" s="45" t="str">
        <f t="shared" si="219"/>
        <v>No</v>
      </c>
      <c r="BU456" s="45" t="str">
        <f t="shared" si="220"/>
        <v>No</v>
      </c>
      <c r="BV456" s="45" t="str">
        <f t="shared" si="221"/>
        <v>No</v>
      </c>
      <c r="BW456" s="55">
        <v>72.456323337679279</v>
      </c>
      <c r="BX456" s="55">
        <v>72.456323337679279</v>
      </c>
      <c r="BY456" s="55">
        <v>68.821323337679274</v>
      </c>
      <c r="BZ456" s="55">
        <f t="shared" ref="BZ456:BZ462" si="236">BX456-(0.0727*100/2)</f>
        <v>68.821323337679274</v>
      </c>
      <c r="CA456" s="45">
        <v>2008</v>
      </c>
      <c r="CB456" s="55">
        <f t="shared" si="230"/>
        <v>47.258728464704987</v>
      </c>
      <c r="CC456" s="46" t="s">
        <v>355</v>
      </c>
      <c r="CD456" s="46" t="s">
        <v>179</v>
      </c>
      <c r="CE456" s="46" t="s">
        <v>179</v>
      </c>
      <c r="CF456" s="46">
        <v>1</v>
      </c>
      <c r="CG456" s="46" t="str">
        <f t="shared" si="231"/>
        <v>No</v>
      </c>
      <c r="CH456" s="46" t="s">
        <v>35</v>
      </c>
      <c r="CI456" s="56">
        <v>0</v>
      </c>
      <c r="CJ456" s="46">
        <v>20</v>
      </c>
      <c r="CK456" s="46" t="s">
        <v>23</v>
      </c>
      <c r="CL456" s="49" t="s">
        <v>29</v>
      </c>
      <c r="CM456" s="50">
        <v>0</v>
      </c>
      <c r="CN456" s="50"/>
      <c r="CO456" s="50"/>
      <c r="CP456" s="46" t="s">
        <v>23</v>
      </c>
      <c r="CQ456" s="46" t="s">
        <v>24</v>
      </c>
      <c r="CR456" s="46">
        <v>7</v>
      </c>
      <c r="CS456" s="46" t="s">
        <v>854</v>
      </c>
      <c r="CT456" s="46" t="s">
        <v>53</v>
      </c>
      <c r="CU456" s="46" t="s">
        <v>29</v>
      </c>
      <c r="CV456" s="46" t="s">
        <v>23</v>
      </c>
      <c r="CW456" s="46" t="s">
        <v>23</v>
      </c>
      <c r="CX456" s="49" t="s">
        <v>927</v>
      </c>
      <c r="CY456" s="49" t="s">
        <v>295</v>
      </c>
      <c r="CZ456" s="49">
        <v>0</v>
      </c>
      <c r="DA456" s="49">
        <v>0</v>
      </c>
      <c r="DB456" s="64">
        <v>65590</v>
      </c>
      <c r="DC456" s="58">
        <v>51.28</v>
      </c>
      <c r="DD456" s="58">
        <v>2.93</v>
      </c>
      <c r="DE456" s="58">
        <v>15.58</v>
      </c>
      <c r="DF456" s="58">
        <v>26.779999999999998</v>
      </c>
      <c r="DG456" s="58">
        <v>3.4299999999999997</v>
      </c>
      <c r="DH456" s="58">
        <v>48.72</v>
      </c>
      <c r="DI456" s="45" t="s">
        <v>29</v>
      </c>
      <c r="DJ456" s="59" t="str">
        <f t="shared" si="232"/>
        <v>N/A</v>
      </c>
      <c r="DK456" s="65">
        <v>65590</v>
      </c>
      <c r="DL456" s="58">
        <v>51.28</v>
      </c>
      <c r="DM456" s="58">
        <v>2.93</v>
      </c>
      <c r="DN456" s="58">
        <v>15.58</v>
      </c>
      <c r="DO456" s="58">
        <v>48.72</v>
      </c>
      <c r="DP456" s="66">
        <v>49.5</v>
      </c>
      <c r="DQ456" s="67">
        <v>85294</v>
      </c>
      <c r="DR456" s="53">
        <v>8.6</v>
      </c>
      <c r="DS456" s="58">
        <v>72.099999999999994</v>
      </c>
      <c r="DT456" s="53">
        <v>45.8</v>
      </c>
      <c r="DU456" s="105">
        <v>2.59</v>
      </c>
      <c r="DV456" s="102">
        <v>34.6</v>
      </c>
      <c r="DW456" s="53">
        <v>90.9</v>
      </c>
      <c r="DX456" s="53">
        <v>69.17</v>
      </c>
      <c r="DY456" s="53">
        <v>49.532200000000003</v>
      </c>
      <c r="DZ456" s="63"/>
    </row>
    <row r="457" spans="1:130" s="5" customFormat="1" ht="14.25" hidden="1" customHeight="1">
      <c r="A457" s="45">
        <v>1420</v>
      </c>
      <c r="B457" s="46" t="s">
        <v>384</v>
      </c>
      <c r="C457" s="47">
        <v>2008</v>
      </c>
      <c r="D457" s="47" t="s">
        <v>392</v>
      </c>
      <c r="E457" s="46" t="s">
        <v>22</v>
      </c>
      <c r="F457" s="46">
        <v>4</v>
      </c>
      <c r="G457" s="48">
        <v>11000</v>
      </c>
      <c r="H457" s="46" t="s">
        <v>332</v>
      </c>
      <c r="I457" s="46">
        <v>1</v>
      </c>
      <c r="J457" s="46">
        <v>1</v>
      </c>
      <c r="K457" s="49" t="s">
        <v>400</v>
      </c>
      <c r="L457" s="49" t="s">
        <v>30</v>
      </c>
      <c r="M457" s="49" t="s">
        <v>29</v>
      </c>
      <c r="N457" s="49" t="s">
        <v>513</v>
      </c>
      <c r="O457" s="49"/>
      <c r="P457" s="49" t="s">
        <v>31</v>
      </c>
      <c r="Q457" s="49" t="s">
        <v>29</v>
      </c>
      <c r="R457" s="49">
        <v>0</v>
      </c>
      <c r="S457" s="50">
        <f t="shared" si="223"/>
        <v>0</v>
      </c>
      <c r="T457" s="49">
        <v>0</v>
      </c>
      <c r="U457" s="50">
        <f t="shared" si="224"/>
        <v>0</v>
      </c>
      <c r="V457" s="45"/>
      <c r="W457" s="49">
        <v>0</v>
      </c>
      <c r="X457" s="50">
        <f t="shared" si="225"/>
        <v>0</v>
      </c>
      <c r="Y457" s="51" t="str">
        <f t="shared" si="226"/>
        <v>No</v>
      </c>
      <c r="Z457" s="49" t="s">
        <v>29</v>
      </c>
      <c r="AA457" s="49" t="s">
        <v>29</v>
      </c>
      <c r="AB457" s="49" t="s">
        <v>29</v>
      </c>
      <c r="AC457" s="46" t="s">
        <v>26</v>
      </c>
      <c r="AD457" s="46" t="s">
        <v>27</v>
      </c>
      <c r="AE457" s="46" t="s">
        <v>89</v>
      </c>
      <c r="AF457" s="46" t="s">
        <v>29</v>
      </c>
      <c r="AG457" s="103">
        <v>40046</v>
      </c>
      <c r="AH457" s="52">
        <v>26021</v>
      </c>
      <c r="AI457" s="52">
        <v>26021</v>
      </c>
      <c r="AJ457" s="102">
        <v>100</v>
      </c>
      <c r="AK457" s="104">
        <v>200</v>
      </c>
      <c r="AL457" s="102">
        <v>100</v>
      </c>
      <c r="AM457" s="102"/>
      <c r="AN457" s="53">
        <f t="shared" si="227"/>
        <v>200</v>
      </c>
      <c r="AO457" s="53" t="s">
        <v>23</v>
      </c>
      <c r="AP457" s="102">
        <f t="shared" si="234"/>
        <v>14025</v>
      </c>
      <c r="AQ457" s="102">
        <f t="shared" si="235"/>
        <v>35.022224441891822</v>
      </c>
      <c r="AR457" s="50"/>
      <c r="AS457" s="50"/>
      <c r="AT457" s="102"/>
      <c r="AU457" s="102"/>
      <c r="AV457" s="102"/>
      <c r="AW457" s="102"/>
      <c r="AX457" s="50"/>
      <c r="AY457" s="50"/>
      <c r="AZ457" s="102"/>
      <c r="BA457" s="102"/>
      <c r="BB457" s="102"/>
      <c r="BC457" s="102"/>
      <c r="BD457" s="50"/>
      <c r="BE457" s="50"/>
      <c r="BF457" s="50"/>
      <c r="BG457" s="50"/>
      <c r="BH457" s="102"/>
      <c r="BI457" s="102"/>
      <c r="BJ457" s="102"/>
      <c r="BK457" s="102"/>
      <c r="BL457" s="102"/>
      <c r="BM457" s="102"/>
      <c r="BN457" s="102"/>
      <c r="BO457" s="50"/>
      <c r="BP457" s="50"/>
      <c r="BQ457" s="50"/>
      <c r="BR457" s="102"/>
      <c r="BS457" s="54" t="s">
        <v>23</v>
      </c>
      <c r="BT457" s="45" t="str">
        <f t="shared" si="219"/>
        <v>No</v>
      </c>
      <c r="BU457" s="45" t="str">
        <f t="shared" si="220"/>
        <v>No</v>
      </c>
      <c r="BV457" s="45" t="str">
        <f t="shared" si="221"/>
        <v>No</v>
      </c>
      <c r="BW457" s="55">
        <v>72.456323337679279</v>
      </c>
      <c r="BX457" s="55">
        <v>72.456323337679279</v>
      </c>
      <c r="BY457" s="55">
        <v>68.821323337679274</v>
      </c>
      <c r="BZ457" s="55">
        <f t="shared" si="236"/>
        <v>68.821323337679274</v>
      </c>
      <c r="CA457" s="45">
        <v>2008</v>
      </c>
      <c r="CB457" s="55">
        <f t="shared" si="230"/>
        <v>39.672206128983078</v>
      </c>
      <c r="CC457" s="46" t="s">
        <v>355</v>
      </c>
      <c r="CD457" s="46" t="s">
        <v>179</v>
      </c>
      <c r="CE457" s="46" t="s">
        <v>179</v>
      </c>
      <c r="CF457" s="46">
        <v>1</v>
      </c>
      <c r="CG457" s="46" t="str">
        <f t="shared" si="231"/>
        <v>No</v>
      </c>
      <c r="CH457" s="46" t="s">
        <v>35</v>
      </c>
      <c r="CI457" s="56">
        <v>0</v>
      </c>
      <c r="CJ457" s="46">
        <v>20</v>
      </c>
      <c r="CK457" s="46" t="s">
        <v>23</v>
      </c>
      <c r="CL457" s="49" t="s">
        <v>29</v>
      </c>
      <c r="CM457" s="50">
        <v>0</v>
      </c>
      <c r="CN457" s="50"/>
      <c r="CO457" s="50"/>
      <c r="CP457" s="46" t="s">
        <v>23</v>
      </c>
      <c r="CQ457" s="46" t="s">
        <v>24</v>
      </c>
      <c r="CR457" s="46">
        <v>7</v>
      </c>
      <c r="CS457" s="46" t="s">
        <v>854</v>
      </c>
      <c r="CT457" s="46" t="s">
        <v>53</v>
      </c>
      <c r="CU457" s="46" t="s">
        <v>29</v>
      </c>
      <c r="CV457" s="46" t="s">
        <v>23</v>
      </c>
      <c r="CW457" s="46" t="s">
        <v>23</v>
      </c>
      <c r="CX457" s="49" t="s">
        <v>927</v>
      </c>
      <c r="CY457" s="49" t="s">
        <v>295</v>
      </c>
      <c r="CZ457" s="49">
        <v>0</v>
      </c>
      <c r="DA457" s="49">
        <v>0</v>
      </c>
      <c r="DB457" s="64">
        <v>65590</v>
      </c>
      <c r="DC457" s="58">
        <v>51.28</v>
      </c>
      <c r="DD457" s="58">
        <v>2.93</v>
      </c>
      <c r="DE457" s="58">
        <v>15.58</v>
      </c>
      <c r="DF457" s="58">
        <v>26.779999999999998</v>
      </c>
      <c r="DG457" s="58">
        <v>3.4299999999999997</v>
      </c>
      <c r="DH457" s="58">
        <v>48.72</v>
      </c>
      <c r="DI457" s="45" t="s">
        <v>29</v>
      </c>
      <c r="DJ457" s="59" t="str">
        <f t="shared" si="232"/>
        <v>N/A</v>
      </c>
      <c r="DK457" s="65">
        <v>65590</v>
      </c>
      <c r="DL457" s="58">
        <v>51.28</v>
      </c>
      <c r="DM457" s="58">
        <v>2.93</v>
      </c>
      <c r="DN457" s="58">
        <v>15.58</v>
      </c>
      <c r="DO457" s="58">
        <v>48.72</v>
      </c>
      <c r="DP457" s="66">
        <v>49.5</v>
      </c>
      <c r="DQ457" s="67">
        <v>85294</v>
      </c>
      <c r="DR457" s="53">
        <v>8.6</v>
      </c>
      <c r="DS457" s="58">
        <v>72.099999999999994</v>
      </c>
      <c r="DT457" s="53">
        <v>45.8</v>
      </c>
      <c r="DU457" s="55">
        <v>2.59</v>
      </c>
      <c r="DV457" s="102">
        <v>34.6</v>
      </c>
      <c r="DW457" s="53">
        <v>90.9</v>
      </c>
      <c r="DX457" s="53">
        <v>69.17</v>
      </c>
      <c r="DY457" s="53">
        <v>49.532200000000003</v>
      </c>
      <c r="DZ457" s="63"/>
    </row>
    <row r="458" spans="1:130" s="5" customFormat="1" ht="14.25" hidden="1" customHeight="1">
      <c r="A458" s="45">
        <v>1419</v>
      </c>
      <c r="B458" s="46" t="s">
        <v>384</v>
      </c>
      <c r="C458" s="47">
        <v>2008</v>
      </c>
      <c r="D458" s="47" t="s">
        <v>394</v>
      </c>
      <c r="E458" s="46" t="s">
        <v>22</v>
      </c>
      <c r="F458" s="46">
        <v>4</v>
      </c>
      <c r="G458" s="48">
        <v>11000</v>
      </c>
      <c r="H458" s="46" t="s">
        <v>332</v>
      </c>
      <c r="I458" s="46">
        <v>1</v>
      </c>
      <c r="J458" s="46">
        <v>2</v>
      </c>
      <c r="K458" s="49" t="s">
        <v>389</v>
      </c>
      <c r="L458" s="49" t="s">
        <v>30</v>
      </c>
      <c r="M458" s="49" t="s">
        <v>29</v>
      </c>
      <c r="N458" s="49" t="s">
        <v>513</v>
      </c>
      <c r="O458" s="49"/>
      <c r="P458" s="49" t="s">
        <v>31</v>
      </c>
      <c r="Q458" s="49" t="s">
        <v>29</v>
      </c>
      <c r="R458" s="49">
        <v>0</v>
      </c>
      <c r="S458" s="50">
        <f t="shared" si="223"/>
        <v>0</v>
      </c>
      <c r="T458" s="49">
        <v>0</v>
      </c>
      <c r="U458" s="50">
        <f t="shared" si="224"/>
        <v>0</v>
      </c>
      <c r="V458" s="45"/>
      <c r="W458" s="49">
        <v>0</v>
      </c>
      <c r="X458" s="50">
        <f t="shared" si="225"/>
        <v>0</v>
      </c>
      <c r="Y458" s="51" t="str">
        <f t="shared" si="226"/>
        <v>No</v>
      </c>
      <c r="Z458" s="49" t="s">
        <v>29</v>
      </c>
      <c r="AA458" s="49" t="s">
        <v>29</v>
      </c>
      <c r="AB458" s="49" t="s">
        <v>29</v>
      </c>
      <c r="AC458" s="46" t="s">
        <v>26</v>
      </c>
      <c r="AD458" s="46" t="s">
        <v>27</v>
      </c>
      <c r="AE458" s="46" t="s">
        <v>89</v>
      </c>
      <c r="AF458" s="46" t="s">
        <v>29</v>
      </c>
      <c r="AG458" s="107">
        <v>40046</v>
      </c>
      <c r="AH458" s="70">
        <f>SUM(19177+11127)</f>
        <v>30304</v>
      </c>
      <c r="AI458" s="70">
        <f>SUM(19177+11127)</f>
        <v>30304</v>
      </c>
      <c r="AJ458" s="102">
        <v>63.28</v>
      </c>
      <c r="AK458" s="104">
        <v>126.56</v>
      </c>
      <c r="AL458" s="102">
        <v>63.28</v>
      </c>
      <c r="AM458" s="102"/>
      <c r="AN458" s="53">
        <f t="shared" si="227"/>
        <v>126.56</v>
      </c>
      <c r="AO458" s="53">
        <v>36.72</v>
      </c>
      <c r="AP458" s="102">
        <f t="shared" si="234"/>
        <v>9742</v>
      </c>
      <c r="AQ458" s="102">
        <f t="shared" si="235"/>
        <v>24.32702392248914</v>
      </c>
      <c r="AR458" s="50"/>
      <c r="AS458" s="50"/>
      <c r="AT458" s="102"/>
      <c r="AU458" s="102"/>
      <c r="AV458" s="50"/>
      <c r="AW458" s="50"/>
      <c r="AX458" s="50"/>
      <c r="AY458" s="50"/>
      <c r="AZ458" s="102"/>
      <c r="BA458" s="102"/>
      <c r="BB458" s="102"/>
      <c r="BC458" s="102"/>
      <c r="BD458" s="50"/>
      <c r="BE458" s="50"/>
      <c r="BF458" s="50"/>
      <c r="BG458" s="50"/>
      <c r="BH458" s="102"/>
      <c r="BI458" s="102"/>
      <c r="BJ458" s="50"/>
      <c r="BK458" s="50"/>
      <c r="BL458" s="50"/>
      <c r="BM458" s="50"/>
      <c r="BN458" s="102"/>
      <c r="BO458" s="50"/>
      <c r="BP458" s="50"/>
      <c r="BQ458" s="50"/>
      <c r="BR458" s="102"/>
      <c r="BS458" s="54" t="s">
        <v>23</v>
      </c>
      <c r="BT458" s="45" t="str">
        <f t="shared" si="219"/>
        <v>Yes</v>
      </c>
      <c r="BU458" s="45" t="str">
        <f t="shared" si="220"/>
        <v>No</v>
      </c>
      <c r="BV458" s="45" t="str">
        <f t="shared" si="221"/>
        <v>No</v>
      </c>
      <c r="BW458" s="55">
        <v>72.456323337679294</v>
      </c>
      <c r="BX458" s="55">
        <v>72.456323337679294</v>
      </c>
      <c r="BY458" s="55">
        <v>68.821323337679303</v>
      </c>
      <c r="BZ458" s="55">
        <f t="shared" si="236"/>
        <v>68.821323337679289</v>
      </c>
      <c r="CA458" s="45">
        <v>2008</v>
      </c>
      <c r="CB458" s="55">
        <f t="shared" si="230"/>
        <v>46.202164964171367</v>
      </c>
      <c r="CC458" s="46" t="s">
        <v>355</v>
      </c>
      <c r="CD458" s="46" t="s">
        <v>179</v>
      </c>
      <c r="CE458" s="46" t="s">
        <v>179</v>
      </c>
      <c r="CF458" s="46">
        <v>1</v>
      </c>
      <c r="CG458" s="46" t="str">
        <f t="shared" si="231"/>
        <v>No</v>
      </c>
      <c r="CH458" s="46" t="s">
        <v>35</v>
      </c>
      <c r="CI458" s="56">
        <v>0</v>
      </c>
      <c r="CJ458" s="46">
        <v>20</v>
      </c>
      <c r="CK458" s="46" t="s">
        <v>23</v>
      </c>
      <c r="CL458" s="49" t="s">
        <v>29</v>
      </c>
      <c r="CM458" s="50">
        <v>0</v>
      </c>
      <c r="CN458" s="50"/>
      <c r="CO458" s="50"/>
      <c r="CP458" s="46" t="s">
        <v>23</v>
      </c>
      <c r="CQ458" s="46" t="s">
        <v>24</v>
      </c>
      <c r="CR458" s="46">
        <v>7</v>
      </c>
      <c r="CS458" s="46" t="s">
        <v>854</v>
      </c>
      <c r="CT458" s="46" t="s">
        <v>53</v>
      </c>
      <c r="CU458" s="46" t="s">
        <v>29</v>
      </c>
      <c r="CV458" s="46" t="s">
        <v>23</v>
      </c>
      <c r="CW458" s="46" t="s">
        <v>23</v>
      </c>
      <c r="CX458" s="49" t="s">
        <v>927</v>
      </c>
      <c r="CY458" s="49" t="s">
        <v>295</v>
      </c>
      <c r="CZ458" s="49">
        <v>0</v>
      </c>
      <c r="DA458" s="49">
        <v>0</v>
      </c>
      <c r="DB458" s="64">
        <v>65590</v>
      </c>
      <c r="DC458" s="58">
        <v>51.28</v>
      </c>
      <c r="DD458" s="58">
        <v>2.93</v>
      </c>
      <c r="DE458" s="58">
        <v>15.58</v>
      </c>
      <c r="DF458" s="58">
        <v>26.779999999999998</v>
      </c>
      <c r="DG458" s="58">
        <v>3.4299999999999997</v>
      </c>
      <c r="DH458" s="58">
        <v>48.72</v>
      </c>
      <c r="DI458" s="45" t="s">
        <v>29</v>
      </c>
      <c r="DJ458" s="59" t="str">
        <f t="shared" si="232"/>
        <v>N/A</v>
      </c>
      <c r="DK458" s="65">
        <v>65590</v>
      </c>
      <c r="DL458" s="58">
        <v>51.28</v>
      </c>
      <c r="DM458" s="58">
        <v>2.93</v>
      </c>
      <c r="DN458" s="58">
        <v>15.58</v>
      </c>
      <c r="DO458" s="58">
        <v>48.72</v>
      </c>
      <c r="DP458" s="66">
        <v>49.5</v>
      </c>
      <c r="DQ458" s="67">
        <v>85294</v>
      </c>
      <c r="DR458" s="53">
        <v>8.6</v>
      </c>
      <c r="DS458" s="58">
        <v>72.099999999999994</v>
      </c>
      <c r="DT458" s="53">
        <v>45.8</v>
      </c>
      <c r="DU458" s="55">
        <v>2.59</v>
      </c>
      <c r="DV458" s="102">
        <v>34.6</v>
      </c>
      <c r="DW458" s="53">
        <v>90.9</v>
      </c>
      <c r="DX458" s="53">
        <v>69.17</v>
      </c>
      <c r="DY458" s="53">
        <v>49.532200000000003</v>
      </c>
      <c r="DZ458" s="63"/>
    </row>
    <row r="459" spans="1:130" s="5" customFormat="1" ht="14.25" hidden="1" customHeight="1">
      <c r="A459" s="45">
        <v>1418</v>
      </c>
      <c r="B459" s="46" t="s">
        <v>384</v>
      </c>
      <c r="C459" s="47">
        <v>2008</v>
      </c>
      <c r="D459" s="47" t="s">
        <v>396</v>
      </c>
      <c r="E459" s="46" t="s">
        <v>22</v>
      </c>
      <c r="F459" s="46">
        <v>4</v>
      </c>
      <c r="G459" s="48">
        <v>11000</v>
      </c>
      <c r="H459" s="46" t="s">
        <v>332</v>
      </c>
      <c r="I459" s="46">
        <v>1</v>
      </c>
      <c r="J459" s="46">
        <v>3</v>
      </c>
      <c r="K459" s="49" t="s">
        <v>401</v>
      </c>
      <c r="L459" s="49" t="s">
        <v>40</v>
      </c>
      <c r="M459" s="49" t="s">
        <v>35</v>
      </c>
      <c r="N459" s="49" t="s">
        <v>513</v>
      </c>
      <c r="O459" s="49"/>
      <c r="P459" s="49" t="s">
        <v>31</v>
      </c>
      <c r="Q459" s="49" t="s">
        <v>29</v>
      </c>
      <c r="R459" s="49">
        <v>1</v>
      </c>
      <c r="S459" s="50">
        <f t="shared" si="223"/>
        <v>33.333333333333329</v>
      </c>
      <c r="T459" s="49">
        <v>0</v>
      </c>
      <c r="U459" s="50">
        <f t="shared" si="224"/>
        <v>0</v>
      </c>
      <c r="V459" s="45"/>
      <c r="W459" s="49">
        <v>0</v>
      </c>
      <c r="X459" s="50">
        <f t="shared" si="225"/>
        <v>0</v>
      </c>
      <c r="Y459" s="51" t="str">
        <f t="shared" si="226"/>
        <v>No</v>
      </c>
      <c r="Z459" s="49" t="s">
        <v>29</v>
      </c>
      <c r="AA459" s="49" t="s">
        <v>29</v>
      </c>
      <c r="AB459" s="45" t="s">
        <v>35</v>
      </c>
      <c r="AC459" s="46" t="s">
        <v>26</v>
      </c>
      <c r="AD459" s="46" t="s">
        <v>27</v>
      </c>
      <c r="AE459" s="46" t="s">
        <v>89</v>
      </c>
      <c r="AF459" s="46" t="s">
        <v>29</v>
      </c>
      <c r="AG459" s="107">
        <v>40046</v>
      </c>
      <c r="AH459" s="70">
        <f>SUM(18278+8283+4141)</f>
        <v>30702</v>
      </c>
      <c r="AI459" s="70">
        <f>SUM(18278+8283+4141)</f>
        <v>30702</v>
      </c>
      <c r="AJ459" s="102">
        <v>59.53</v>
      </c>
      <c r="AK459" s="104">
        <v>119.06</v>
      </c>
      <c r="AL459" s="102">
        <v>59.53</v>
      </c>
      <c r="AM459" s="102"/>
      <c r="AN459" s="53">
        <f t="shared" si="227"/>
        <v>119.06</v>
      </c>
      <c r="AO459" s="53">
        <v>26.98</v>
      </c>
      <c r="AP459" s="102">
        <f t="shared" si="234"/>
        <v>9344</v>
      </c>
      <c r="AQ459" s="102">
        <f t="shared" si="235"/>
        <v>23.33316685811317</v>
      </c>
      <c r="AR459" s="50"/>
      <c r="AS459" s="50"/>
      <c r="AT459" s="102"/>
      <c r="AU459" s="102"/>
      <c r="AV459" s="102"/>
      <c r="AW459" s="102"/>
      <c r="AX459" s="50"/>
      <c r="AY459" s="50"/>
      <c r="AZ459" s="102"/>
      <c r="BA459" s="102"/>
      <c r="BB459" s="102"/>
      <c r="BC459" s="102"/>
      <c r="BD459" s="50"/>
      <c r="BE459" s="50"/>
      <c r="BF459" s="50"/>
      <c r="BG459" s="50"/>
      <c r="BH459" s="102"/>
      <c r="BI459" s="102"/>
      <c r="BJ459" s="50"/>
      <c r="BK459" s="50"/>
      <c r="BL459" s="50"/>
      <c r="BM459" s="50"/>
      <c r="BN459" s="102"/>
      <c r="BO459" s="50"/>
      <c r="BP459" s="50"/>
      <c r="BQ459" s="50"/>
      <c r="BR459" s="102"/>
      <c r="BS459" s="54" t="s">
        <v>23</v>
      </c>
      <c r="BT459" s="45" t="str">
        <f t="shared" si="219"/>
        <v>No</v>
      </c>
      <c r="BU459" s="45" t="str">
        <f t="shared" si="220"/>
        <v>No</v>
      </c>
      <c r="BV459" s="45" t="str">
        <f t="shared" si="221"/>
        <v>No</v>
      </c>
      <c r="BW459" s="55">
        <v>72.456323337679294</v>
      </c>
      <c r="BX459" s="55">
        <v>72.456323337679294</v>
      </c>
      <c r="BY459" s="55">
        <v>68.821323337679303</v>
      </c>
      <c r="BZ459" s="55">
        <f t="shared" si="236"/>
        <v>68.821323337679289</v>
      </c>
      <c r="CA459" s="45">
        <v>2008</v>
      </c>
      <c r="CB459" s="55">
        <f t="shared" si="230"/>
        <v>46.808964781216652</v>
      </c>
      <c r="CC459" s="46" t="s">
        <v>355</v>
      </c>
      <c r="CD459" s="46" t="s">
        <v>179</v>
      </c>
      <c r="CE459" s="46" t="s">
        <v>179</v>
      </c>
      <c r="CF459" s="46">
        <v>1</v>
      </c>
      <c r="CG459" s="46" t="str">
        <f t="shared" si="231"/>
        <v>No</v>
      </c>
      <c r="CH459" s="46" t="s">
        <v>35</v>
      </c>
      <c r="CI459" s="56">
        <v>0</v>
      </c>
      <c r="CJ459" s="46">
        <v>20</v>
      </c>
      <c r="CK459" s="46" t="s">
        <v>23</v>
      </c>
      <c r="CL459" s="49" t="s">
        <v>29</v>
      </c>
      <c r="CM459" s="50">
        <v>0</v>
      </c>
      <c r="CN459" s="50"/>
      <c r="CO459" s="50"/>
      <c r="CP459" s="46" t="s">
        <v>23</v>
      </c>
      <c r="CQ459" s="46" t="s">
        <v>24</v>
      </c>
      <c r="CR459" s="46">
        <v>7</v>
      </c>
      <c r="CS459" s="46" t="s">
        <v>854</v>
      </c>
      <c r="CT459" s="46" t="s">
        <v>53</v>
      </c>
      <c r="CU459" s="46" t="s">
        <v>29</v>
      </c>
      <c r="CV459" s="46" t="s">
        <v>23</v>
      </c>
      <c r="CW459" s="46" t="s">
        <v>23</v>
      </c>
      <c r="CX459" s="49" t="s">
        <v>927</v>
      </c>
      <c r="CY459" s="49" t="s">
        <v>295</v>
      </c>
      <c r="CZ459" s="49">
        <v>0</v>
      </c>
      <c r="DA459" s="49">
        <v>0</v>
      </c>
      <c r="DB459" s="64">
        <v>65590</v>
      </c>
      <c r="DC459" s="58">
        <v>51.28</v>
      </c>
      <c r="DD459" s="58">
        <v>2.93</v>
      </c>
      <c r="DE459" s="58">
        <v>15.58</v>
      </c>
      <c r="DF459" s="58">
        <v>26.779999999999998</v>
      </c>
      <c r="DG459" s="58">
        <v>3.4299999999999997</v>
      </c>
      <c r="DH459" s="58">
        <v>48.72</v>
      </c>
      <c r="DI459" s="45" t="s">
        <v>29</v>
      </c>
      <c r="DJ459" s="59" t="str">
        <f t="shared" si="232"/>
        <v>N/A</v>
      </c>
      <c r="DK459" s="65">
        <v>65590</v>
      </c>
      <c r="DL459" s="58">
        <v>51.28</v>
      </c>
      <c r="DM459" s="58">
        <v>2.93</v>
      </c>
      <c r="DN459" s="58">
        <v>15.58</v>
      </c>
      <c r="DO459" s="58">
        <v>48.72</v>
      </c>
      <c r="DP459" s="66">
        <v>49.5</v>
      </c>
      <c r="DQ459" s="67">
        <v>85294</v>
      </c>
      <c r="DR459" s="53">
        <v>8.6</v>
      </c>
      <c r="DS459" s="58">
        <v>72.099999999999994</v>
      </c>
      <c r="DT459" s="53">
        <v>45.8</v>
      </c>
      <c r="DU459" s="55">
        <v>2.59</v>
      </c>
      <c r="DV459" s="102">
        <v>34.6</v>
      </c>
      <c r="DW459" s="53">
        <v>90.9</v>
      </c>
      <c r="DX459" s="53">
        <v>69.17</v>
      </c>
      <c r="DY459" s="53">
        <v>49.532200000000003</v>
      </c>
      <c r="DZ459" s="63"/>
    </row>
    <row r="460" spans="1:130" s="5" customFormat="1" ht="14.25" hidden="1" customHeight="1">
      <c r="A460" s="45">
        <v>1414</v>
      </c>
      <c r="B460" s="46" t="s">
        <v>384</v>
      </c>
      <c r="C460" s="47">
        <v>2010</v>
      </c>
      <c r="D460" s="47" t="s">
        <v>385</v>
      </c>
      <c r="E460" s="46" t="s">
        <v>22</v>
      </c>
      <c r="F460" s="46">
        <v>4</v>
      </c>
      <c r="G460" s="48">
        <v>11000</v>
      </c>
      <c r="H460" s="46" t="s">
        <v>332</v>
      </c>
      <c r="I460" s="46">
        <v>1</v>
      </c>
      <c r="J460" s="46">
        <v>2</v>
      </c>
      <c r="K460" s="49" t="s">
        <v>386</v>
      </c>
      <c r="L460" s="49" t="s">
        <v>30</v>
      </c>
      <c r="M460" s="49" t="s">
        <v>29</v>
      </c>
      <c r="N460" s="49" t="s">
        <v>512</v>
      </c>
      <c r="O460" s="49"/>
      <c r="P460" s="49" t="s">
        <v>31</v>
      </c>
      <c r="Q460" s="49" t="s">
        <v>29</v>
      </c>
      <c r="R460" s="49">
        <v>0</v>
      </c>
      <c r="S460" s="50">
        <f t="shared" si="223"/>
        <v>0</v>
      </c>
      <c r="T460" s="49">
        <v>1</v>
      </c>
      <c r="U460" s="50">
        <f t="shared" si="224"/>
        <v>50</v>
      </c>
      <c r="V460" s="49" t="s">
        <v>173</v>
      </c>
      <c r="W460" s="49">
        <v>0</v>
      </c>
      <c r="X460" s="50">
        <f t="shared" si="225"/>
        <v>0</v>
      </c>
      <c r="Y460" s="51" t="str">
        <f t="shared" si="226"/>
        <v>No</v>
      </c>
      <c r="Z460" s="49" t="s">
        <v>35</v>
      </c>
      <c r="AA460" s="49" t="s">
        <v>23</v>
      </c>
      <c r="AB460" s="49" t="s">
        <v>23</v>
      </c>
      <c r="AC460" s="46" t="s">
        <v>26</v>
      </c>
      <c r="AD460" s="46" t="s">
        <v>27</v>
      </c>
      <c r="AE460" s="46" t="s">
        <v>73</v>
      </c>
      <c r="AF460" s="46" t="s">
        <v>29</v>
      </c>
      <c r="AG460" s="107">
        <v>30829</v>
      </c>
      <c r="AH460" s="70">
        <f>SUM(12962+10990)</f>
        <v>23952</v>
      </c>
      <c r="AI460" s="70">
        <f>SUM(12962+10990)</f>
        <v>23952</v>
      </c>
      <c r="AJ460" s="102">
        <v>54.12</v>
      </c>
      <c r="AK460" s="104">
        <v>108.24</v>
      </c>
      <c r="AL460" s="102">
        <v>54.12</v>
      </c>
      <c r="AM460" s="102"/>
      <c r="AN460" s="53">
        <f t="shared" si="227"/>
        <v>108.24</v>
      </c>
      <c r="AO460" s="53">
        <v>45.88</v>
      </c>
      <c r="AP460" s="102">
        <f t="shared" si="234"/>
        <v>6877</v>
      </c>
      <c r="AQ460" s="102">
        <f t="shared" si="235"/>
        <v>22.306918810211165</v>
      </c>
      <c r="AR460" s="102"/>
      <c r="AS460" s="102"/>
      <c r="AT460" s="102"/>
      <c r="AU460" s="102"/>
      <c r="AV460" s="50"/>
      <c r="AW460" s="50"/>
      <c r="AX460" s="102"/>
      <c r="AY460" s="102"/>
      <c r="AZ460" s="102"/>
      <c r="BA460" s="102"/>
      <c r="BB460" s="102"/>
      <c r="BC460" s="102"/>
      <c r="BD460" s="102"/>
      <c r="BE460" s="102"/>
      <c r="BF460" s="102"/>
      <c r="BG460" s="102"/>
      <c r="BH460" s="102"/>
      <c r="BI460" s="102"/>
      <c r="BJ460" s="50"/>
      <c r="BK460" s="50"/>
      <c r="BL460" s="50"/>
      <c r="BM460" s="50"/>
      <c r="BN460" s="102"/>
      <c r="BO460" s="102"/>
      <c r="BP460" s="102"/>
      <c r="BQ460" s="102"/>
      <c r="BR460" s="102"/>
      <c r="BS460" s="54" t="s">
        <v>23</v>
      </c>
      <c r="BT460" s="45" t="str">
        <f t="shared" si="219"/>
        <v>Yes</v>
      </c>
      <c r="BU460" s="45" t="str">
        <f t="shared" si="220"/>
        <v>Yes</v>
      </c>
      <c r="BV460" s="45" t="str">
        <f t="shared" si="221"/>
        <v>No</v>
      </c>
      <c r="BW460" s="55">
        <v>72.456323337679279</v>
      </c>
      <c r="BX460" s="55">
        <v>72.456323337679279</v>
      </c>
      <c r="BY460" s="55">
        <v>68.821323337679274</v>
      </c>
      <c r="BZ460" s="55">
        <f t="shared" si="236"/>
        <v>68.821323337679274</v>
      </c>
      <c r="CA460" s="45">
        <v>2008</v>
      </c>
      <c r="CB460" s="55">
        <f t="shared" si="230"/>
        <v>36.012629679747405</v>
      </c>
      <c r="CC460" s="46" t="s">
        <v>355</v>
      </c>
      <c r="CD460" s="46" t="s">
        <v>179</v>
      </c>
      <c r="CE460" s="46" t="s">
        <v>179</v>
      </c>
      <c r="CF460" s="46">
        <v>1</v>
      </c>
      <c r="CG460" s="46" t="str">
        <f t="shared" si="231"/>
        <v>No</v>
      </c>
      <c r="CH460" s="46" t="s">
        <v>35</v>
      </c>
      <c r="CI460" s="56">
        <v>0</v>
      </c>
      <c r="CJ460" s="46">
        <v>20</v>
      </c>
      <c r="CK460" s="46" t="s">
        <v>23</v>
      </c>
      <c r="CL460" s="49" t="s">
        <v>29</v>
      </c>
      <c r="CM460" s="50">
        <v>0</v>
      </c>
      <c r="CN460" s="50"/>
      <c r="CO460" s="50"/>
      <c r="CP460" s="46" t="s">
        <v>23</v>
      </c>
      <c r="CQ460" s="46" t="s">
        <v>24</v>
      </c>
      <c r="CR460" s="46">
        <v>7</v>
      </c>
      <c r="CS460" s="46" t="s">
        <v>854</v>
      </c>
      <c r="CT460" s="46" t="s">
        <v>53</v>
      </c>
      <c r="CU460" s="46" t="s">
        <v>29</v>
      </c>
      <c r="CV460" s="46" t="s">
        <v>23</v>
      </c>
      <c r="CW460" s="46" t="s">
        <v>23</v>
      </c>
      <c r="CX460" s="49" t="s">
        <v>927</v>
      </c>
      <c r="CY460" s="49" t="s">
        <v>295</v>
      </c>
      <c r="CZ460" s="49">
        <v>0</v>
      </c>
      <c r="DA460" s="49">
        <v>0</v>
      </c>
      <c r="DB460" s="64">
        <v>66510</v>
      </c>
      <c r="DC460" s="58">
        <v>50.660000000000004</v>
      </c>
      <c r="DD460" s="58">
        <v>3.65</v>
      </c>
      <c r="DE460" s="58">
        <v>16.16</v>
      </c>
      <c r="DF460" s="58">
        <v>26.43</v>
      </c>
      <c r="DG460" s="58">
        <v>3.1000000000000028</v>
      </c>
      <c r="DH460" s="58">
        <v>49.339999999999996</v>
      </c>
      <c r="DI460" s="45" t="s">
        <v>29</v>
      </c>
      <c r="DJ460" s="59" t="str">
        <f t="shared" si="232"/>
        <v>N/A</v>
      </c>
      <c r="DK460" s="65">
        <v>66510</v>
      </c>
      <c r="DL460" s="58">
        <v>50.660000000000004</v>
      </c>
      <c r="DM460" s="58">
        <v>3.65</v>
      </c>
      <c r="DN460" s="58">
        <v>16.16</v>
      </c>
      <c r="DO460" s="58">
        <v>49.339999999999996</v>
      </c>
      <c r="DP460" s="66">
        <v>48.95</v>
      </c>
      <c r="DQ460" s="67">
        <v>95066.01</v>
      </c>
      <c r="DR460" s="53">
        <v>9</v>
      </c>
      <c r="DS460" s="58">
        <v>70.599999999999994</v>
      </c>
      <c r="DT460" s="53">
        <v>46.2</v>
      </c>
      <c r="DU460" s="55">
        <v>2.69</v>
      </c>
      <c r="DV460" s="102">
        <v>34.4</v>
      </c>
      <c r="DW460" s="53">
        <v>91.3</v>
      </c>
      <c r="DX460" s="53">
        <v>72.45</v>
      </c>
      <c r="DY460" s="53">
        <v>41.210799999999999</v>
      </c>
      <c r="DZ460" s="63"/>
    </row>
    <row r="461" spans="1:130" s="5" customFormat="1" ht="14.25" hidden="1" customHeight="1">
      <c r="A461" s="45">
        <v>1415</v>
      </c>
      <c r="B461" s="46" t="s">
        <v>384</v>
      </c>
      <c r="C461" s="47">
        <v>2010</v>
      </c>
      <c r="D461" s="47" t="s">
        <v>387</v>
      </c>
      <c r="E461" s="46" t="s">
        <v>22</v>
      </c>
      <c r="F461" s="46">
        <v>4</v>
      </c>
      <c r="G461" s="48">
        <v>11000</v>
      </c>
      <c r="H461" s="46" t="s">
        <v>332</v>
      </c>
      <c r="I461" s="46">
        <v>1</v>
      </c>
      <c r="J461" s="46">
        <v>2</v>
      </c>
      <c r="K461" s="49" t="s">
        <v>398</v>
      </c>
      <c r="L461" s="49" t="s">
        <v>40</v>
      </c>
      <c r="M461" s="49" t="s">
        <v>35</v>
      </c>
      <c r="N461" s="49" t="s">
        <v>512</v>
      </c>
      <c r="O461" s="49"/>
      <c r="P461" s="49" t="s">
        <v>31</v>
      </c>
      <c r="Q461" s="49" t="s">
        <v>29</v>
      </c>
      <c r="R461" s="49">
        <v>2</v>
      </c>
      <c r="S461" s="50">
        <f t="shared" si="223"/>
        <v>100</v>
      </c>
      <c r="T461" s="49">
        <v>0</v>
      </c>
      <c r="U461" s="50">
        <f t="shared" si="224"/>
        <v>0</v>
      </c>
      <c r="V461" s="45"/>
      <c r="W461" s="49">
        <v>0</v>
      </c>
      <c r="X461" s="50">
        <f t="shared" si="225"/>
        <v>0</v>
      </c>
      <c r="Y461" s="51" t="str">
        <f t="shared" si="226"/>
        <v>No</v>
      </c>
      <c r="Z461" s="49" t="s">
        <v>35</v>
      </c>
      <c r="AA461" s="49" t="s">
        <v>23</v>
      </c>
      <c r="AB461" s="49" t="s">
        <v>23</v>
      </c>
      <c r="AC461" s="46" t="s">
        <v>26</v>
      </c>
      <c r="AD461" s="46" t="s">
        <v>27</v>
      </c>
      <c r="AE461" s="46" t="s">
        <v>73</v>
      </c>
      <c r="AF461" s="46" t="s">
        <v>29</v>
      </c>
      <c r="AG461" s="107">
        <v>30829</v>
      </c>
      <c r="AH461" s="70">
        <f>SUM(13540+10522)</f>
        <v>24062</v>
      </c>
      <c r="AI461" s="70">
        <f>SUM(13540+10522)</f>
        <v>24062</v>
      </c>
      <c r="AJ461" s="102">
        <v>56.27</v>
      </c>
      <c r="AK461" s="104">
        <v>112.54</v>
      </c>
      <c r="AL461" s="102">
        <v>56.27</v>
      </c>
      <c r="AM461" s="102"/>
      <c r="AN461" s="53">
        <f t="shared" si="227"/>
        <v>112.54</v>
      </c>
      <c r="AO461" s="53">
        <v>43.73</v>
      </c>
      <c r="AP461" s="102">
        <f t="shared" si="234"/>
        <v>6767</v>
      </c>
      <c r="AQ461" s="102">
        <f t="shared" si="235"/>
        <v>21.950111907619448</v>
      </c>
      <c r="AR461" s="50"/>
      <c r="AS461" s="50"/>
      <c r="AT461" s="102"/>
      <c r="AU461" s="102"/>
      <c r="AV461" s="102"/>
      <c r="AW461" s="102"/>
      <c r="AX461" s="50"/>
      <c r="AY461" s="50"/>
      <c r="AZ461" s="102"/>
      <c r="BA461" s="102"/>
      <c r="BB461" s="102"/>
      <c r="BC461" s="102"/>
      <c r="BD461" s="50"/>
      <c r="BE461" s="50"/>
      <c r="BF461" s="50"/>
      <c r="BG461" s="50"/>
      <c r="BH461" s="102"/>
      <c r="BI461" s="102"/>
      <c r="BJ461" s="102"/>
      <c r="BK461" s="102"/>
      <c r="BL461" s="102"/>
      <c r="BM461" s="102"/>
      <c r="BN461" s="102"/>
      <c r="BO461" s="50"/>
      <c r="BP461" s="50"/>
      <c r="BQ461" s="50"/>
      <c r="BR461" s="102"/>
      <c r="BS461" s="54" t="s">
        <v>23</v>
      </c>
      <c r="BT461" s="45" t="str">
        <f t="shared" ref="BT461:BT497" si="237">IF(J461=I461, "No", IF(AJ461/AO461&lt;2, "Yes", "No"))</f>
        <v>Yes</v>
      </c>
      <c r="BU461" s="45" t="str">
        <f t="shared" ref="BU461:BU497" si="238">IF(J461=I461, "No", IF(AJ461/AO461&lt;1.5, "Yes", "No"))</f>
        <v>Yes</v>
      </c>
      <c r="BV461" s="45" t="str">
        <f t="shared" ref="BV461:BV497" si="239">IF(J461=I461, "No", IF((ABS(AJ461-AO461))&lt;(5/I461), "Yes", "No"))</f>
        <v>No</v>
      </c>
      <c r="BW461" s="55">
        <v>72.456323337679279</v>
      </c>
      <c r="BX461" s="55">
        <v>72.456323337679279</v>
      </c>
      <c r="BY461" s="55">
        <v>68.821323337679274</v>
      </c>
      <c r="BZ461" s="55">
        <f t="shared" si="236"/>
        <v>68.821323337679274</v>
      </c>
      <c r="CA461" s="45">
        <v>2008</v>
      </c>
      <c r="CB461" s="55">
        <f t="shared" si="230"/>
        <v>36.178018343106302</v>
      </c>
      <c r="CC461" s="46" t="s">
        <v>355</v>
      </c>
      <c r="CD461" s="46" t="s">
        <v>179</v>
      </c>
      <c r="CE461" s="46" t="s">
        <v>179</v>
      </c>
      <c r="CF461" s="46">
        <v>1</v>
      </c>
      <c r="CG461" s="46" t="str">
        <f t="shared" si="231"/>
        <v>No</v>
      </c>
      <c r="CH461" s="46" t="s">
        <v>35</v>
      </c>
      <c r="CI461" s="56">
        <v>0</v>
      </c>
      <c r="CJ461" s="46">
        <v>20</v>
      </c>
      <c r="CK461" s="46" t="s">
        <v>23</v>
      </c>
      <c r="CL461" s="49" t="s">
        <v>29</v>
      </c>
      <c r="CM461" s="50">
        <v>0</v>
      </c>
      <c r="CN461" s="50"/>
      <c r="CO461" s="50"/>
      <c r="CP461" s="46" t="s">
        <v>23</v>
      </c>
      <c r="CQ461" s="46" t="s">
        <v>24</v>
      </c>
      <c r="CR461" s="46">
        <v>7</v>
      </c>
      <c r="CS461" s="46" t="s">
        <v>854</v>
      </c>
      <c r="CT461" s="46" t="s">
        <v>53</v>
      </c>
      <c r="CU461" s="46" t="s">
        <v>29</v>
      </c>
      <c r="CV461" s="46" t="s">
        <v>23</v>
      </c>
      <c r="CW461" s="46" t="s">
        <v>23</v>
      </c>
      <c r="CX461" s="49" t="s">
        <v>927</v>
      </c>
      <c r="CY461" s="49" t="s">
        <v>295</v>
      </c>
      <c r="CZ461" s="49">
        <v>0</v>
      </c>
      <c r="DA461" s="49">
        <v>0</v>
      </c>
      <c r="DB461" s="64">
        <v>66510</v>
      </c>
      <c r="DC461" s="58">
        <v>50.660000000000004</v>
      </c>
      <c r="DD461" s="58">
        <v>3.65</v>
      </c>
      <c r="DE461" s="58">
        <v>16.16</v>
      </c>
      <c r="DF461" s="58">
        <v>26.43</v>
      </c>
      <c r="DG461" s="58">
        <v>3.1000000000000028</v>
      </c>
      <c r="DH461" s="58">
        <v>49.339999999999996</v>
      </c>
      <c r="DI461" s="45" t="s">
        <v>29</v>
      </c>
      <c r="DJ461" s="59" t="str">
        <f t="shared" si="232"/>
        <v>N/A</v>
      </c>
      <c r="DK461" s="65">
        <v>66510</v>
      </c>
      <c r="DL461" s="58">
        <v>50.660000000000004</v>
      </c>
      <c r="DM461" s="58">
        <v>3.65</v>
      </c>
      <c r="DN461" s="58">
        <v>16.16</v>
      </c>
      <c r="DO461" s="58">
        <v>49.339999999999996</v>
      </c>
      <c r="DP461" s="66">
        <v>48.95</v>
      </c>
      <c r="DQ461" s="67">
        <v>95066.01</v>
      </c>
      <c r="DR461" s="53">
        <v>9</v>
      </c>
      <c r="DS461" s="58">
        <v>70.599999999999994</v>
      </c>
      <c r="DT461" s="53">
        <v>46.2</v>
      </c>
      <c r="DU461" s="55">
        <v>2.69</v>
      </c>
      <c r="DV461" s="102">
        <v>34.4</v>
      </c>
      <c r="DW461" s="53">
        <v>91.3</v>
      </c>
      <c r="DX461" s="53">
        <v>72.45</v>
      </c>
      <c r="DY461" s="53">
        <v>41.210799999999999</v>
      </c>
      <c r="DZ461" s="63"/>
    </row>
    <row r="462" spans="1:130" s="5" customFormat="1" ht="14.25" hidden="1" customHeight="1">
      <c r="A462" s="45">
        <v>1416</v>
      </c>
      <c r="B462" s="46" t="s">
        <v>384</v>
      </c>
      <c r="C462" s="47">
        <v>2010</v>
      </c>
      <c r="D462" s="47" t="s">
        <v>38</v>
      </c>
      <c r="E462" s="46" t="s">
        <v>22</v>
      </c>
      <c r="F462" s="46">
        <v>4</v>
      </c>
      <c r="G462" s="48">
        <v>16000</v>
      </c>
      <c r="H462" s="46" t="s">
        <v>332</v>
      </c>
      <c r="I462" s="46">
        <v>1</v>
      </c>
      <c r="J462" s="46">
        <v>2</v>
      </c>
      <c r="K462" s="49" t="s">
        <v>389</v>
      </c>
      <c r="L462" s="49" t="s">
        <v>30</v>
      </c>
      <c r="M462" s="49" t="s">
        <v>29</v>
      </c>
      <c r="N462" s="49" t="s">
        <v>512</v>
      </c>
      <c r="O462" s="49"/>
      <c r="P462" s="49" t="s">
        <v>31</v>
      </c>
      <c r="Q462" s="49" t="s">
        <v>29</v>
      </c>
      <c r="R462" s="49">
        <v>0</v>
      </c>
      <c r="S462" s="50">
        <f t="shared" si="223"/>
        <v>0</v>
      </c>
      <c r="T462" s="49">
        <v>0</v>
      </c>
      <c r="U462" s="50">
        <f t="shared" si="224"/>
        <v>0</v>
      </c>
      <c r="V462" s="45"/>
      <c r="W462" s="49">
        <v>0</v>
      </c>
      <c r="X462" s="50">
        <f t="shared" si="225"/>
        <v>0</v>
      </c>
      <c r="Y462" s="51" t="str">
        <f t="shared" si="226"/>
        <v>No</v>
      </c>
      <c r="Z462" s="49" t="s">
        <v>35</v>
      </c>
      <c r="AA462" s="49" t="s">
        <v>23</v>
      </c>
      <c r="AB462" s="49" t="s">
        <v>23</v>
      </c>
      <c r="AC462" s="46" t="s">
        <v>26</v>
      </c>
      <c r="AD462" s="46" t="s">
        <v>27</v>
      </c>
      <c r="AE462" s="46" t="s">
        <v>73</v>
      </c>
      <c r="AF462" s="46" t="s">
        <v>29</v>
      </c>
      <c r="AG462" s="107">
        <v>30829</v>
      </c>
      <c r="AH462" s="70">
        <f>SUM(15258+8797)</f>
        <v>24055</v>
      </c>
      <c r="AI462" s="70">
        <f>SUM(15258+8797)</f>
        <v>24055</v>
      </c>
      <c r="AJ462" s="102">
        <v>63.43</v>
      </c>
      <c r="AK462" s="104">
        <v>126.86</v>
      </c>
      <c r="AL462" s="102">
        <v>63.43</v>
      </c>
      <c r="AM462" s="102"/>
      <c r="AN462" s="53">
        <f t="shared" si="227"/>
        <v>126.86</v>
      </c>
      <c r="AO462" s="53">
        <v>36.57</v>
      </c>
      <c r="AP462" s="102">
        <f t="shared" si="234"/>
        <v>6774</v>
      </c>
      <c r="AQ462" s="102">
        <f t="shared" si="235"/>
        <v>21.972817801420742</v>
      </c>
      <c r="AR462" s="50"/>
      <c r="AS462" s="50"/>
      <c r="AT462" s="102"/>
      <c r="AU462" s="102"/>
      <c r="AV462" s="50"/>
      <c r="AW462" s="50"/>
      <c r="AX462" s="50"/>
      <c r="AY462" s="50"/>
      <c r="AZ462" s="102"/>
      <c r="BA462" s="102"/>
      <c r="BB462" s="102"/>
      <c r="BC462" s="102"/>
      <c r="BD462" s="50"/>
      <c r="BE462" s="50"/>
      <c r="BF462" s="50"/>
      <c r="BG462" s="50"/>
      <c r="BH462" s="102"/>
      <c r="BI462" s="102"/>
      <c r="BJ462" s="50"/>
      <c r="BK462" s="50"/>
      <c r="BL462" s="50"/>
      <c r="BM462" s="50"/>
      <c r="BN462" s="102"/>
      <c r="BO462" s="50"/>
      <c r="BP462" s="50"/>
      <c r="BQ462" s="50"/>
      <c r="BR462" s="102"/>
      <c r="BS462" s="54" t="s">
        <v>23</v>
      </c>
      <c r="BT462" s="45" t="str">
        <f t="shared" si="237"/>
        <v>Yes</v>
      </c>
      <c r="BU462" s="45" t="str">
        <f t="shared" si="238"/>
        <v>No</v>
      </c>
      <c r="BV462" s="45" t="str">
        <f t="shared" si="239"/>
        <v>No</v>
      </c>
      <c r="BW462" s="55">
        <v>72.456323337679279</v>
      </c>
      <c r="BX462" s="55">
        <v>72.456323337679279</v>
      </c>
      <c r="BY462" s="55">
        <v>68.821323337679274</v>
      </c>
      <c r="BZ462" s="55">
        <f t="shared" si="236"/>
        <v>68.821323337679274</v>
      </c>
      <c r="CA462" s="45">
        <v>2008</v>
      </c>
      <c r="CB462" s="55">
        <f t="shared" si="230"/>
        <v>36.16749360998346</v>
      </c>
      <c r="CC462" s="46" t="s">
        <v>39</v>
      </c>
      <c r="CD462" s="46" t="s">
        <v>179</v>
      </c>
      <c r="CE462" s="46" t="s">
        <v>179</v>
      </c>
      <c r="CF462" s="46">
        <v>1</v>
      </c>
      <c r="CG462" s="46" t="str">
        <f t="shared" si="231"/>
        <v>No</v>
      </c>
      <c r="CH462" s="46" t="s">
        <v>35</v>
      </c>
      <c r="CI462" s="56">
        <v>0</v>
      </c>
      <c r="CJ462" s="46">
        <v>20</v>
      </c>
      <c r="CK462" s="46" t="s">
        <v>23</v>
      </c>
      <c r="CL462" s="49" t="s">
        <v>29</v>
      </c>
      <c r="CM462" s="50">
        <v>0</v>
      </c>
      <c r="CN462" s="50">
        <v>43049.321100000008</v>
      </c>
      <c r="CO462" s="50" t="s">
        <v>35</v>
      </c>
      <c r="CP462" s="46" t="s">
        <v>23</v>
      </c>
      <c r="CQ462" s="46" t="s">
        <v>23</v>
      </c>
      <c r="CR462" s="46">
        <v>7</v>
      </c>
      <c r="CS462" s="46" t="s">
        <v>854</v>
      </c>
      <c r="CT462" s="46" t="s">
        <v>53</v>
      </c>
      <c r="CU462" s="46" t="s">
        <v>29</v>
      </c>
      <c r="CV462" s="46" t="s">
        <v>23</v>
      </c>
      <c r="CW462" s="46" t="s">
        <v>23</v>
      </c>
      <c r="CX462" s="49" t="s">
        <v>927</v>
      </c>
      <c r="CY462" s="49" t="s">
        <v>295</v>
      </c>
      <c r="CZ462" s="49">
        <v>0</v>
      </c>
      <c r="DA462" s="49">
        <v>0</v>
      </c>
      <c r="DB462" s="64">
        <v>66510</v>
      </c>
      <c r="DC462" s="58">
        <v>50.660000000000004</v>
      </c>
      <c r="DD462" s="58">
        <v>3.65</v>
      </c>
      <c r="DE462" s="58">
        <v>16.16</v>
      </c>
      <c r="DF462" s="58">
        <v>26.43</v>
      </c>
      <c r="DG462" s="58">
        <v>3.1000000000000028</v>
      </c>
      <c r="DH462" s="58">
        <v>49.339999999999996</v>
      </c>
      <c r="DI462" s="45" t="s">
        <v>29</v>
      </c>
      <c r="DJ462" s="59" t="str">
        <f t="shared" si="232"/>
        <v>N/A</v>
      </c>
      <c r="DK462" s="65">
        <v>66510</v>
      </c>
      <c r="DL462" s="58">
        <v>50.660000000000004</v>
      </c>
      <c r="DM462" s="58">
        <v>3.65</v>
      </c>
      <c r="DN462" s="58">
        <v>16.16</v>
      </c>
      <c r="DO462" s="58">
        <v>49.339999999999996</v>
      </c>
      <c r="DP462" s="66">
        <v>48.95</v>
      </c>
      <c r="DQ462" s="67">
        <v>95066.01</v>
      </c>
      <c r="DR462" s="53">
        <v>9</v>
      </c>
      <c r="DS462" s="58">
        <v>70.599999999999994</v>
      </c>
      <c r="DT462" s="53">
        <v>46.2</v>
      </c>
      <c r="DU462" s="55">
        <v>2.69</v>
      </c>
      <c r="DV462" s="102">
        <v>34.4</v>
      </c>
      <c r="DW462" s="53">
        <v>91.3</v>
      </c>
      <c r="DX462" s="53">
        <v>72.45</v>
      </c>
      <c r="DY462" s="53">
        <v>41.210799999999999</v>
      </c>
      <c r="DZ462" s="63"/>
    </row>
    <row r="463" spans="1:130" s="5" customFormat="1" ht="14.25" hidden="1" customHeight="1">
      <c r="A463" s="45">
        <v>1412</v>
      </c>
      <c r="B463" s="46" t="s">
        <v>384</v>
      </c>
      <c r="C463" s="47">
        <v>2012</v>
      </c>
      <c r="D463" s="47" t="s">
        <v>390</v>
      </c>
      <c r="E463" s="46" t="s">
        <v>22</v>
      </c>
      <c r="F463" s="46">
        <v>4</v>
      </c>
      <c r="G463" s="48">
        <v>11000</v>
      </c>
      <c r="H463" s="46" t="s">
        <v>332</v>
      </c>
      <c r="I463" s="46">
        <v>1</v>
      </c>
      <c r="J463" s="46">
        <v>2</v>
      </c>
      <c r="K463" s="49" t="s">
        <v>391</v>
      </c>
      <c r="L463" s="49" t="s">
        <v>40</v>
      </c>
      <c r="M463" s="49" t="s">
        <v>35</v>
      </c>
      <c r="N463" s="49" t="s">
        <v>512</v>
      </c>
      <c r="O463" s="49"/>
      <c r="P463" s="49" t="s">
        <v>31</v>
      </c>
      <c r="Q463" s="49" t="s">
        <v>29</v>
      </c>
      <c r="R463" s="49">
        <v>1</v>
      </c>
      <c r="S463" s="50">
        <f t="shared" si="223"/>
        <v>50</v>
      </c>
      <c r="T463" s="49">
        <v>1</v>
      </c>
      <c r="U463" s="50">
        <f t="shared" si="224"/>
        <v>50</v>
      </c>
      <c r="V463" s="49" t="s">
        <v>173</v>
      </c>
      <c r="W463" s="49">
        <v>0</v>
      </c>
      <c r="X463" s="50">
        <f t="shared" si="225"/>
        <v>0</v>
      </c>
      <c r="Y463" s="51" t="str">
        <f t="shared" si="226"/>
        <v>No</v>
      </c>
      <c r="Z463" s="49" t="s">
        <v>35</v>
      </c>
      <c r="AA463" s="49" t="s">
        <v>23</v>
      </c>
      <c r="AB463" s="49" t="s">
        <v>23</v>
      </c>
      <c r="AC463" s="46" t="s">
        <v>26</v>
      </c>
      <c r="AD463" s="46" t="s">
        <v>27</v>
      </c>
      <c r="AE463" s="46" t="s">
        <v>89</v>
      </c>
      <c r="AF463" s="46" t="s">
        <v>29</v>
      </c>
      <c r="AG463" s="103">
        <v>38487</v>
      </c>
      <c r="AH463" s="52">
        <v>31334</v>
      </c>
      <c r="AI463" s="52">
        <v>31334</v>
      </c>
      <c r="AJ463" s="102">
        <v>61.7</v>
      </c>
      <c r="AK463" s="104">
        <v>123.4</v>
      </c>
      <c r="AL463" s="102">
        <v>61.7</v>
      </c>
      <c r="AM463" s="102"/>
      <c r="AN463" s="53">
        <f t="shared" si="227"/>
        <v>123.4</v>
      </c>
      <c r="AO463" s="53">
        <v>38.299999999999997</v>
      </c>
      <c r="AP463" s="102">
        <f t="shared" si="234"/>
        <v>7153</v>
      </c>
      <c r="AQ463" s="102">
        <f t="shared" si="235"/>
        <v>18.585496401382283</v>
      </c>
      <c r="AR463" s="102"/>
      <c r="AS463" s="102"/>
      <c r="AT463" s="102"/>
      <c r="AU463" s="102"/>
      <c r="AV463" s="102"/>
      <c r="AW463" s="102"/>
      <c r="AX463" s="102"/>
      <c r="AY463" s="102"/>
      <c r="AZ463" s="102"/>
      <c r="BA463" s="102"/>
      <c r="BB463" s="102"/>
      <c r="BC463" s="102"/>
      <c r="BD463" s="102"/>
      <c r="BE463" s="102"/>
      <c r="BF463" s="102"/>
      <c r="BG463" s="102"/>
      <c r="BH463" s="102"/>
      <c r="BI463" s="102"/>
      <c r="BJ463" s="102"/>
      <c r="BK463" s="102"/>
      <c r="BL463" s="102"/>
      <c r="BM463" s="102"/>
      <c r="BN463" s="102"/>
      <c r="BO463" s="102"/>
      <c r="BP463" s="102"/>
      <c r="BQ463" s="102"/>
      <c r="BR463" s="102"/>
      <c r="BS463" s="54" t="s">
        <v>23</v>
      </c>
      <c r="BT463" s="45" t="str">
        <f t="shared" si="237"/>
        <v>Yes</v>
      </c>
      <c r="BU463" s="45" t="str">
        <f t="shared" si="238"/>
        <v>No</v>
      </c>
      <c r="BV463" s="45" t="str">
        <f t="shared" si="239"/>
        <v>No</v>
      </c>
      <c r="BW463" s="55">
        <v>73.792749999999998</v>
      </c>
      <c r="BX463" s="55">
        <v>73.792749999999998</v>
      </c>
      <c r="BY463" s="55">
        <v>71.862749999999991</v>
      </c>
      <c r="BZ463" s="55">
        <f t="shared" ref="BZ463:BZ469" si="240">BX463-(0.0386*100/2)</f>
        <v>71.862749999999991</v>
      </c>
      <c r="CA463" s="45">
        <v>2012</v>
      </c>
      <c r="CB463" s="55">
        <f t="shared" si="230"/>
        <v>46.47927019209375</v>
      </c>
      <c r="CC463" s="46" t="s">
        <v>355</v>
      </c>
      <c r="CD463" s="46" t="s">
        <v>179</v>
      </c>
      <c r="CE463" s="46" t="s">
        <v>179</v>
      </c>
      <c r="CF463" s="46">
        <v>1</v>
      </c>
      <c r="CG463" s="46" t="str">
        <f t="shared" si="231"/>
        <v>No</v>
      </c>
      <c r="CH463" s="46" t="s">
        <v>35</v>
      </c>
      <c r="CI463" s="56">
        <v>0</v>
      </c>
      <c r="CJ463" s="46">
        <v>20</v>
      </c>
      <c r="CK463" s="46" t="s">
        <v>23</v>
      </c>
      <c r="CL463" s="49" t="s">
        <v>29</v>
      </c>
      <c r="CM463" s="50">
        <v>0</v>
      </c>
      <c r="CN463" s="50"/>
      <c r="CO463" s="50"/>
      <c r="CP463" s="46" t="s">
        <v>23</v>
      </c>
      <c r="CQ463" s="46" t="s">
        <v>24</v>
      </c>
      <c r="CR463" s="46">
        <v>7</v>
      </c>
      <c r="CS463" s="46" t="s">
        <v>854</v>
      </c>
      <c r="CT463" s="46" t="s">
        <v>53</v>
      </c>
      <c r="CU463" s="46" t="s">
        <v>29</v>
      </c>
      <c r="CV463" s="46" t="s">
        <v>23</v>
      </c>
      <c r="CW463" s="46" t="s">
        <v>23</v>
      </c>
      <c r="CX463" s="49" t="s">
        <v>926</v>
      </c>
      <c r="CY463" s="49" t="s">
        <v>295</v>
      </c>
      <c r="CZ463" s="49">
        <v>0</v>
      </c>
      <c r="DA463" s="49">
        <v>0</v>
      </c>
      <c r="DB463" s="64">
        <v>67415</v>
      </c>
      <c r="DC463" s="58">
        <v>48.215205711341724</v>
      </c>
      <c r="DD463" s="58">
        <v>3.7462280120703615</v>
      </c>
      <c r="DE463" s="58">
        <v>15.522190328990948</v>
      </c>
      <c r="DF463" s="58">
        <v>29.219106498859205</v>
      </c>
      <c r="DG463" s="58">
        <v>3.2972694487377607</v>
      </c>
      <c r="DH463" s="58">
        <v>51.784794288658276</v>
      </c>
      <c r="DI463" s="45" t="s">
        <v>35</v>
      </c>
      <c r="DJ463" s="59" t="str">
        <f t="shared" si="232"/>
        <v>No single majority group</v>
      </c>
      <c r="DK463" s="65">
        <v>67415</v>
      </c>
      <c r="DL463" s="58">
        <v>48.215205711341724</v>
      </c>
      <c r="DM463" s="58">
        <v>3.7462280120703615</v>
      </c>
      <c r="DN463" s="58">
        <v>15.522190328990948</v>
      </c>
      <c r="DO463" s="58">
        <v>51.784794288658276</v>
      </c>
      <c r="DP463" s="66">
        <v>48.4</v>
      </c>
      <c r="DQ463" s="67">
        <v>93840</v>
      </c>
      <c r="DR463" s="53">
        <v>9</v>
      </c>
      <c r="DS463" s="58">
        <v>70</v>
      </c>
      <c r="DT463" s="53">
        <v>44.9</v>
      </c>
      <c r="DU463" s="55">
        <v>2.71</v>
      </c>
      <c r="DV463" s="102">
        <v>34.299999999999997</v>
      </c>
      <c r="DW463" s="53">
        <v>92</v>
      </c>
      <c r="DX463" s="53">
        <v>64.97</v>
      </c>
      <c r="DY463" s="53">
        <v>44.3506</v>
      </c>
      <c r="DZ463" s="63"/>
    </row>
    <row r="464" spans="1:130" s="5" customFormat="1" ht="14.25" hidden="1" customHeight="1">
      <c r="A464" s="45">
        <v>1411</v>
      </c>
      <c r="B464" s="46" t="s">
        <v>384</v>
      </c>
      <c r="C464" s="47">
        <v>2012</v>
      </c>
      <c r="D464" s="47" t="s">
        <v>392</v>
      </c>
      <c r="E464" s="46" t="s">
        <v>22</v>
      </c>
      <c r="F464" s="46">
        <v>4</v>
      </c>
      <c r="G464" s="48">
        <v>11000</v>
      </c>
      <c r="H464" s="46" t="s">
        <v>332</v>
      </c>
      <c r="I464" s="46">
        <v>1</v>
      </c>
      <c r="J464" s="46">
        <v>2</v>
      </c>
      <c r="K464" s="49" t="s">
        <v>393</v>
      </c>
      <c r="L464" s="49" t="s">
        <v>30</v>
      </c>
      <c r="M464" s="49" t="s">
        <v>29</v>
      </c>
      <c r="N464" s="49" t="s">
        <v>512</v>
      </c>
      <c r="O464" s="49"/>
      <c r="P464" s="49" t="s">
        <v>31</v>
      </c>
      <c r="Q464" s="49" t="s">
        <v>29</v>
      </c>
      <c r="R464" s="49">
        <v>1</v>
      </c>
      <c r="S464" s="50">
        <f t="shared" si="223"/>
        <v>50</v>
      </c>
      <c r="T464" s="49">
        <v>1</v>
      </c>
      <c r="U464" s="50">
        <f t="shared" si="224"/>
        <v>50</v>
      </c>
      <c r="V464" s="49" t="s">
        <v>789</v>
      </c>
      <c r="W464" s="49">
        <v>1</v>
      </c>
      <c r="X464" s="50">
        <f t="shared" si="225"/>
        <v>50</v>
      </c>
      <c r="Y464" s="51" t="str">
        <f t="shared" si="226"/>
        <v>No</v>
      </c>
      <c r="Z464" s="49" t="s">
        <v>35</v>
      </c>
      <c r="AA464" s="49" t="s">
        <v>23</v>
      </c>
      <c r="AB464" s="49" t="s">
        <v>23</v>
      </c>
      <c r="AC464" s="46" t="s">
        <v>26</v>
      </c>
      <c r="AD464" s="46" t="s">
        <v>27</v>
      </c>
      <c r="AE464" s="46" t="s">
        <v>89</v>
      </c>
      <c r="AF464" s="46" t="s">
        <v>29</v>
      </c>
      <c r="AG464" s="103">
        <v>38487</v>
      </c>
      <c r="AH464" s="52">
        <v>30427</v>
      </c>
      <c r="AI464" s="52">
        <v>30427</v>
      </c>
      <c r="AJ464" s="102">
        <v>72.31</v>
      </c>
      <c r="AK464" s="104">
        <v>144.62</v>
      </c>
      <c r="AL464" s="102">
        <v>72.31</v>
      </c>
      <c r="AM464" s="102"/>
      <c r="AN464" s="53">
        <f t="shared" si="227"/>
        <v>144.62</v>
      </c>
      <c r="AO464" s="53">
        <v>27.69</v>
      </c>
      <c r="AP464" s="102">
        <f t="shared" si="234"/>
        <v>8060</v>
      </c>
      <c r="AQ464" s="102">
        <f t="shared" si="235"/>
        <v>20.942136305765583</v>
      </c>
      <c r="AR464" s="102"/>
      <c r="AS464" s="102"/>
      <c r="AT464" s="102"/>
      <c r="AU464" s="102"/>
      <c r="AV464" s="50"/>
      <c r="AW464" s="50"/>
      <c r="AX464" s="102"/>
      <c r="AY464" s="102"/>
      <c r="AZ464" s="102"/>
      <c r="BA464" s="102"/>
      <c r="BB464" s="102"/>
      <c r="BC464" s="102"/>
      <c r="BD464" s="102"/>
      <c r="BE464" s="102"/>
      <c r="BF464" s="102"/>
      <c r="BG464" s="102"/>
      <c r="BH464" s="102"/>
      <c r="BI464" s="102"/>
      <c r="BJ464" s="50"/>
      <c r="BK464" s="50"/>
      <c r="BL464" s="50"/>
      <c r="BM464" s="50"/>
      <c r="BN464" s="102"/>
      <c r="BO464" s="102"/>
      <c r="BP464" s="102"/>
      <c r="BQ464" s="102"/>
      <c r="BR464" s="102"/>
      <c r="BS464" s="54" t="s">
        <v>23</v>
      </c>
      <c r="BT464" s="45" t="str">
        <f t="shared" si="237"/>
        <v>No</v>
      </c>
      <c r="BU464" s="45" t="str">
        <f t="shared" si="238"/>
        <v>No</v>
      </c>
      <c r="BV464" s="45" t="str">
        <f t="shared" si="239"/>
        <v>No</v>
      </c>
      <c r="BW464" s="55">
        <v>73.792749999999998</v>
      </c>
      <c r="BX464" s="55">
        <v>73.792749999999998</v>
      </c>
      <c r="BY464" s="55">
        <v>71.862749999999991</v>
      </c>
      <c r="BZ464" s="55">
        <f t="shared" si="240"/>
        <v>71.862749999999991</v>
      </c>
      <c r="CA464" s="45">
        <v>2012</v>
      </c>
      <c r="CB464" s="55">
        <f t="shared" si="230"/>
        <v>45.133872283616405</v>
      </c>
      <c r="CC464" s="46" t="s">
        <v>355</v>
      </c>
      <c r="CD464" s="46" t="s">
        <v>179</v>
      </c>
      <c r="CE464" s="46" t="s">
        <v>179</v>
      </c>
      <c r="CF464" s="46">
        <v>1</v>
      </c>
      <c r="CG464" s="46" t="str">
        <f t="shared" si="231"/>
        <v>No</v>
      </c>
      <c r="CH464" s="46" t="s">
        <v>35</v>
      </c>
      <c r="CI464" s="56">
        <v>0</v>
      </c>
      <c r="CJ464" s="46">
        <v>20</v>
      </c>
      <c r="CK464" s="46" t="s">
        <v>23</v>
      </c>
      <c r="CL464" s="49" t="s">
        <v>29</v>
      </c>
      <c r="CM464" s="50">
        <v>0</v>
      </c>
      <c r="CN464" s="50"/>
      <c r="CO464" s="50"/>
      <c r="CP464" s="46" t="s">
        <v>23</v>
      </c>
      <c r="CQ464" s="46" t="s">
        <v>24</v>
      </c>
      <c r="CR464" s="46">
        <v>7</v>
      </c>
      <c r="CS464" s="46" t="s">
        <v>854</v>
      </c>
      <c r="CT464" s="46" t="s">
        <v>53</v>
      </c>
      <c r="CU464" s="46" t="s">
        <v>29</v>
      </c>
      <c r="CV464" s="46" t="s">
        <v>23</v>
      </c>
      <c r="CW464" s="46" t="s">
        <v>23</v>
      </c>
      <c r="CX464" s="49" t="s">
        <v>926</v>
      </c>
      <c r="CY464" s="49" t="s">
        <v>295</v>
      </c>
      <c r="CZ464" s="49">
        <v>0</v>
      </c>
      <c r="DA464" s="49">
        <v>0</v>
      </c>
      <c r="DB464" s="64">
        <v>67415</v>
      </c>
      <c r="DC464" s="58">
        <v>48.215205711341724</v>
      </c>
      <c r="DD464" s="58">
        <v>3.7462280120703615</v>
      </c>
      <c r="DE464" s="58">
        <v>15.522190328990948</v>
      </c>
      <c r="DF464" s="58">
        <v>29.219106498859205</v>
      </c>
      <c r="DG464" s="58">
        <v>3.2972694487377607</v>
      </c>
      <c r="DH464" s="58">
        <v>51.784794288658276</v>
      </c>
      <c r="DI464" s="45" t="s">
        <v>35</v>
      </c>
      <c r="DJ464" s="59" t="str">
        <f t="shared" si="232"/>
        <v>No single majority group</v>
      </c>
      <c r="DK464" s="65">
        <v>67415</v>
      </c>
      <c r="DL464" s="58">
        <v>48.215205711341724</v>
      </c>
      <c r="DM464" s="58">
        <v>3.7462280120703615</v>
      </c>
      <c r="DN464" s="58">
        <v>15.522190328990948</v>
      </c>
      <c r="DO464" s="58">
        <v>51.784794288658276</v>
      </c>
      <c r="DP464" s="66">
        <v>48.4</v>
      </c>
      <c r="DQ464" s="67">
        <v>93840</v>
      </c>
      <c r="DR464" s="53">
        <v>9</v>
      </c>
      <c r="DS464" s="58">
        <v>70</v>
      </c>
      <c r="DT464" s="53">
        <v>44.9</v>
      </c>
      <c r="DU464" s="55">
        <v>2.71</v>
      </c>
      <c r="DV464" s="102">
        <v>34.299999999999997</v>
      </c>
      <c r="DW464" s="53">
        <v>92</v>
      </c>
      <c r="DX464" s="53">
        <v>64.97</v>
      </c>
      <c r="DY464" s="53">
        <v>44.3506</v>
      </c>
      <c r="DZ464" s="63"/>
    </row>
    <row r="465" spans="1:130" s="5" customFormat="1" ht="14.25" hidden="1" customHeight="1">
      <c r="A465" s="45">
        <v>1413</v>
      </c>
      <c r="B465" s="46" t="s">
        <v>384</v>
      </c>
      <c r="C465" s="47">
        <v>2012</v>
      </c>
      <c r="D465" s="47" t="s">
        <v>394</v>
      </c>
      <c r="E465" s="46" t="s">
        <v>22</v>
      </c>
      <c r="F465" s="46">
        <v>4</v>
      </c>
      <c r="G465" s="48">
        <v>11000</v>
      </c>
      <c r="H465" s="46" t="s">
        <v>332</v>
      </c>
      <c r="I465" s="46">
        <v>1</v>
      </c>
      <c r="J465" s="46">
        <v>1</v>
      </c>
      <c r="K465" s="49" t="s">
        <v>395</v>
      </c>
      <c r="L465" s="49" t="s">
        <v>40</v>
      </c>
      <c r="M465" s="49" t="s">
        <v>35</v>
      </c>
      <c r="N465" s="49" t="s">
        <v>512</v>
      </c>
      <c r="O465" s="49"/>
      <c r="P465" s="49" t="s">
        <v>31</v>
      </c>
      <c r="Q465" s="49" t="s">
        <v>29</v>
      </c>
      <c r="R465" s="49">
        <v>1</v>
      </c>
      <c r="S465" s="50">
        <f t="shared" si="223"/>
        <v>100</v>
      </c>
      <c r="T465" s="49">
        <v>0</v>
      </c>
      <c r="U465" s="50">
        <f t="shared" si="224"/>
        <v>0</v>
      </c>
      <c r="V465" s="45"/>
      <c r="W465" s="49">
        <v>0</v>
      </c>
      <c r="X465" s="50">
        <f t="shared" si="225"/>
        <v>0</v>
      </c>
      <c r="Y465" s="51" t="str">
        <f t="shared" si="226"/>
        <v>No</v>
      </c>
      <c r="Z465" s="49" t="s">
        <v>35</v>
      </c>
      <c r="AA465" s="49" t="s">
        <v>23</v>
      </c>
      <c r="AB465" s="49" t="s">
        <v>23</v>
      </c>
      <c r="AC465" s="46" t="s">
        <v>26</v>
      </c>
      <c r="AD465" s="46" t="s">
        <v>27</v>
      </c>
      <c r="AE465" s="46" t="s">
        <v>89</v>
      </c>
      <c r="AF465" s="46" t="s">
        <v>29</v>
      </c>
      <c r="AG465" s="103">
        <v>38487</v>
      </c>
      <c r="AH465" s="52">
        <v>25572</v>
      </c>
      <c r="AI465" s="52">
        <v>25572</v>
      </c>
      <c r="AJ465" s="102">
        <v>100</v>
      </c>
      <c r="AK465" s="104">
        <v>200</v>
      </c>
      <c r="AL465" s="102">
        <v>100</v>
      </c>
      <c r="AM465" s="102"/>
      <c r="AN465" s="53">
        <f t="shared" si="227"/>
        <v>200</v>
      </c>
      <c r="AO465" s="53" t="s">
        <v>23</v>
      </c>
      <c r="AP465" s="102">
        <f t="shared" si="234"/>
        <v>12915</v>
      </c>
      <c r="AQ465" s="102">
        <f t="shared" si="235"/>
        <v>33.556785408059866</v>
      </c>
      <c r="AR465" s="50"/>
      <c r="AS465" s="50"/>
      <c r="AT465" s="102"/>
      <c r="AU465" s="102"/>
      <c r="AV465" s="50"/>
      <c r="AW465" s="50"/>
      <c r="AX465" s="50"/>
      <c r="AY465" s="50"/>
      <c r="AZ465" s="102"/>
      <c r="BA465" s="102"/>
      <c r="BB465" s="102"/>
      <c r="BC465" s="102"/>
      <c r="BD465" s="50"/>
      <c r="BE465" s="50"/>
      <c r="BF465" s="50"/>
      <c r="BG465" s="50"/>
      <c r="BH465" s="102"/>
      <c r="BI465" s="102"/>
      <c r="BJ465" s="50"/>
      <c r="BK465" s="50"/>
      <c r="BL465" s="50"/>
      <c r="BM465" s="50"/>
      <c r="BN465" s="102"/>
      <c r="BO465" s="50"/>
      <c r="BP465" s="50"/>
      <c r="BQ465" s="50"/>
      <c r="BR465" s="102"/>
      <c r="BS465" s="54" t="s">
        <v>23</v>
      </c>
      <c r="BT465" s="45" t="str">
        <f t="shared" si="237"/>
        <v>No</v>
      </c>
      <c r="BU465" s="45" t="str">
        <f t="shared" si="238"/>
        <v>No</v>
      </c>
      <c r="BV465" s="45" t="str">
        <f t="shared" si="239"/>
        <v>No</v>
      </c>
      <c r="BW465" s="55">
        <v>73.792749999999998</v>
      </c>
      <c r="BX465" s="55">
        <v>73.792749999999998</v>
      </c>
      <c r="BY465" s="55">
        <v>71.862749999999991</v>
      </c>
      <c r="BZ465" s="55">
        <f t="shared" si="240"/>
        <v>71.862749999999991</v>
      </c>
      <c r="CA465" s="45">
        <v>2012</v>
      </c>
      <c r="CB465" s="55">
        <f t="shared" si="230"/>
        <v>37.932210932285102</v>
      </c>
      <c r="CC465" s="46" t="s">
        <v>355</v>
      </c>
      <c r="CD465" s="46" t="s">
        <v>179</v>
      </c>
      <c r="CE465" s="46" t="s">
        <v>179</v>
      </c>
      <c r="CF465" s="46">
        <v>1</v>
      </c>
      <c r="CG465" s="46" t="str">
        <f t="shared" si="231"/>
        <v>No</v>
      </c>
      <c r="CH465" s="46" t="s">
        <v>35</v>
      </c>
      <c r="CI465" s="56">
        <v>0</v>
      </c>
      <c r="CJ465" s="46">
        <v>20</v>
      </c>
      <c r="CK465" s="46" t="s">
        <v>23</v>
      </c>
      <c r="CL465" s="49" t="s">
        <v>29</v>
      </c>
      <c r="CM465" s="50">
        <v>0</v>
      </c>
      <c r="CN465" s="50"/>
      <c r="CO465" s="50"/>
      <c r="CP465" s="46" t="s">
        <v>23</v>
      </c>
      <c r="CQ465" s="46" t="s">
        <v>24</v>
      </c>
      <c r="CR465" s="46">
        <v>7</v>
      </c>
      <c r="CS465" s="46" t="s">
        <v>854</v>
      </c>
      <c r="CT465" s="46" t="s">
        <v>53</v>
      </c>
      <c r="CU465" s="46" t="s">
        <v>29</v>
      </c>
      <c r="CV465" s="46" t="s">
        <v>23</v>
      </c>
      <c r="CW465" s="46" t="s">
        <v>23</v>
      </c>
      <c r="CX465" s="49" t="s">
        <v>926</v>
      </c>
      <c r="CY465" s="49" t="s">
        <v>295</v>
      </c>
      <c r="CZ465" s="49">
        <v>0</v>
      </c>
      <c r="DA465" s="49">
        <v>0</v>
      </c>
      <c r="DB465" s="64">
        <v>67415</v>
      </c>
      <c r="DC465" s="58">
        <v>48.215205711341724</v>
      </c>
      <c r="DD465" s="58">
        <v>3.7462280120703615</v>
      </c>
      <c r="DE465" s="58">
        <v>15.522190328990948</v>
      </c>
      <c r="DF465" s="58">
        <v>29.219106498859205</v>
      </c>
      <c r="DG465" s="58">
        <v>3.2972694487377607</v>
      </c>
      <c r="DH465" s="58">
        <v>51.784794288658276</v>
      </c>
      <c r="DI465" s="45" t="s">
        <v>35</v>
      </c>
      <c r="DJ465" s="59" t="str">
        <f t="shared" si="232"/>
        <v>No single majority group</v>
      </c>
      <c r="DK465" s="65">
        <v>67415</v>
      </c>
      <c r="DL465" s="58">
        <v>48.215205711341724</v>
      </c>
      <c r="DM465" s="58">
        <v>3.7462280120703615</v>
      </c>
      <c r="DN465" s="58">
        <v>15.522190328990948</v>
      </c>
      <c r="DO465" s="58">
        <v>51.784794288658276</v>
      </c>
      <c r="DP465" s="66">
        <v>48.4</v>
      </c>
      <c r="DQ465" s="67">
        <v>93840</v>
      </c>
      <c r="DR465" s="53">
        <v>9</v>
      </c>
      <c r="DS465" s="58">
        <v>70</v>
      </c>
      <c r="DT465" s="53">
        <v>44.9</v>
      </c>
      <c r="DU465" s="55">
        <v>2.71</v>
      </c>
      <c r="DV465" s="102">
        <v>34.299999999999997</v>
      </c>
      <c r="DW465" s="53">
        <v>92</v>
      </c>
      <c r="DX465" s="53">
        <v>64.97</v>
      </c>
      <c r="DY465" s="53">
        <v>44.3506</v>
      </c>
      <c r="DZ465" s="63"/>
    </row>
    <row r="466" spans="1:130" s="5" customFormat="1" ht="14.25" hidden="1" customHeight="1">
      <c r="A466" s="45">
        <v>1410</v>
      </c>
      <c r="B466" s="46" t="s">
        <v>384</v>
      </c>
      <c r="C466" s="47">
        <v>2012</v>
      </c>
      <c r="D466" s="47" t="s">
        <v>396</v>
      </c>
      <c r="E466" s="46" t="s">
        <v>22</v>
      </c>
      <c r="F466" s="46">
        <v>4</v>
      </c>
      <c r="G466" s="48">
        <v>11000</v>
      </c>
      <c r="H466" s="46" t="s">
        <v>332</v>
      </c>
      <c r="I466" s="46">
        <v>1</v>
      </c>
      <c r="J466" s="46">
        <v>3</v>
      </c>
      <c r="K466" s="49" t="s">
        <v>397</v>
      </c>
      <c r="L466" s="49" t="s">
        <v>40</v>
      </c>
      <c r="M466" s="49" t="s">
        <v>35</v>
      </c>
      <c r="N466" s="49" t="s">
        <v>512</v>
      </c>
      <c r="O466" s="49"/>
      <c r="P466" s="49" t="s">
        <v>31</v>
      </c>
      <c r="Q466" s="49" t="s">
        <v>29</v>
      </c>
      <c r="R466" s="49">
        <v>1</v>
      </c>
      <c r="S466" s="50">
        <f t="shared" si="223"/>
        <v>33.333333333333329</v>
      </c>
      <c r="T466" s="49">
        <v>0</v>
      </c>
      <c r="U466" s="50">
        <f t="shared" si="224"/>
        <v>0</v>
      </c>
      <c r="V466" s="45"/>
      <c r="W466" s="49">
        <v>0</v>
      </c>
      <c r="X466" s="50">
        <f t="shared" si="225"/>
        <v>0</v>
      </c>
      <c r="Y466" s="51" t="str">
        <f t="shared" si="226"/>
        <v>No</v>
      </c>
      <c r="Z466" s="49" t="s">
        <v>35</v>
      </c>
      <c r="AA466" s="49" t="s">
        <v>23</v>
      </c>
      <c r="AB466" s="49" t="s">
        <v>23</v>
      </c>
      <c r="AC466" s="46" t="s">
        <v>26</v>
      </c>
      <c r="AD466" s="46" t="s">
        <v>27</v>
      </c>
      <c r="AE466" s="46" t="s">
        <v>89</v>
      </c>
      <c r="AF466" s="46" t="s">
        <v>29</v>
      </c>
      <c r="AG466" s="103">
        <v>38487</v>
      </c>
      <c r="AH466" s="52">
        <v>29951</v>
      </c>
      <c r="AI466" s="52">
        <v>29951</v>
      </c>
      <c r="AJ466" s="102">
        <v>43.23</v>
      </c>
      <c r="AK466" s="104">
        <v>86.46</v>
      </c>
      <c r="AL466" s="102">
        <v>43.23</v>
      </c>
      <c r="AM466" s="102"/>
      <c r="AN466" s="53">
        <f t="shared" si="227"/>
        <v>86.46</v>
      </c>
      <c r="AO466" s="53">
        <v>35.33</v>
      </c>
      <c r="AP466" s="102">
        <f t="shared" si="234"/>
        <v>8536</v>
      </c>
      <c r="AQ466" s="102">
        <f t="shared" si="235"/>
        <v>22.178917556577545</v>
      </c>
      <c r="AR466" s="102"/>
      <c r="AS466" s="102"/>
      <c r="AT466" s="102"/>
      <c r="AU466" s="102"/>
      <c r="AV466" s="102"/>
      <c r="AW466" s="102"/>
      <c r="AX466" s="102"/>
      <c r="AY466" s="102"/>
      <c r="AZ466" s="102"/>
      <c r="BA466" s="102"/>
      <c r="BB466" s="102"/>
      <c r="BC466" s="102"/>
      <c r="BD466" s="102"/>
      <c r="BE466" s="102"/>
      <c r="BF466" s="102"/>
      <c r="BG466" s="102"/>
      <c r="BH466" s="102"/>
      <c r="BI466" s="102"/>
      <c r="BJ466" s="102"/>
      <c r="BK466" s="102"/>
      <c r="BL466" s="102"/>
      <c r="BM466" s="102"/>
      <c r="BN466" s="102"/>
      <c r="BO466" s="102"/>
      <c r="BP466" s="102"/>
      <c r="BQ466" s="102"/>
      <c r="BR466" s="102"/>
      <c r="BS466" s="54" t="s">
        <v>23</v>
      </c>
      <c r="BT466" s="45" t="str">
        <f t="shared" si="237"/>
        <v>Yes</v>
      </c>
      <c r="BU466" s="45" t="str">
        <f t="shared" si="238"/>
        <v>Yes</v>
      </c>
      <c r="BV466" s="45" t="str">
        <f t="shared" si="239"/>
        <v>No</v>
      </c>
      <c r="BW466" s="55">
        <v>73.792749999999998</v>
      </c>
      <c r="BX466" s="55">
        <v>73.792749999999998</v>
      </c>
      <c r="BY466" s="55">
        <v>71.862749999999991</v>
      </c>
      <c r="BZ466" s="55">
        <f t="shared" si="240"/>
        <v>71.862749999999991</v>
      </c>
      <c r="CA466" s="45">
        <v>2012</v>
      </c>
      <c r="CB466" s="55">
        <f t="shared" si="230"/>
        <v>44.427797967811316</v>
      </c>
      <c r="CC466" s="46" t="s">
        <v>355</v>
      </c>
      <c r="CD466" s="46" t="s">
        <v>179</v>
      </c>
      <c r="CE466" s="46" t="s">
        <v>179</v>
      </c>
      <c r="CF466" s="46">
        <v>1</v>
      </c>
      <c r="CG466" s="46" t="str">
        <f t="shared" si="231"/>
        <v>No</v>
      </c>
      <c r="CH466" s="46" t="s">
        <v>35</v>
      </c>
      <c r="CI466" s="56">
        <v>0</v>
      </c>
      <c r="CJ466" s="46">
        <v>20</v>
      </c>
      <c r="CK466" s="46" t="s">
        <v>23</v>
      </c>
      <c r="CL466" s="49" t="s">
        <v>29</v>
      </c>
      <c r="CM466" s="50">
        <v>0</v>
      </c>
      <c r="CN466" s="50"/>
      <c r="CO466" s="50"/>
      <c r="CP466" s="46" t="s">
        <v>23</v>
      </c>
      <c r="CQ466" s="46" t="s">
        <v>24</v>
      </c>
      <c r="CR466" s="46">
        <v>7</v>
      </c>
      <c r="CS466" s="46" t="s">
        <v>854</v>
      </c>
      <c r="CT466" s="46" t="s">
        <v>53</v>
      </c>
      <c r="CU466" s="46" t="s">
        <v>29</v>
      </c>
      <c r="CV466" s="46" t="s">
        <v>23</v>
      </c>
      <c r="CW466" s="46" t="s">
        <v>23</v>
      </c>
      <c r="CX466" s="49" t="s">
        <v>926</v>
      </c>
      <c r="CY466" s="49" t="s">
        <v>295</v>
      </c>
      <c r="CZ466" s="49">
        <v>0</v>
      </c>
      <c r="DA466" s="49">
        <v>0</v>
      </c>
      <c r="DB466" s="64">
        <v>67415</v>
      </c>
      <c r="DC466" s="58">
        <v>48.215205711341724</v>
      </c>
      <c r="DD466" s="58">
        <v>3.7462280120703615</v>
      </c>
      <c r="DE466" s="58">
        <v>15.522190328990948</v>
      </c>
      <c r="DF466" s="58">
        <v>29.219106498859205</v>
      </c>
      <c r="DG466" s="58">
        <v>3.2972694487377607</v>
      </c>
      <c r="DH466" s="58">
        <v>51.784794288658276</v>
      </c>
      <c r="DI466" s="45" t="s">
        <v>35</v>
      </c>
      <c r="DJ466" s="59" t="str">
        <f t="shared" si="232"/>
        <v>No single majority group</v>
      </c>
      <c r="DK466" s="65">
        <v>67415</v>
      </c>
      <c r="DL466" s="58">
        <v>48.215205711341724</v>
      </c>
      <c r="DM466" s="58">
        <v>3.7462280120703615</v>
      </c>
      <c r="DN466" s="58">
        <v>15.522190328990948</v>
      </c>
      <c r="DO466" s="58">
        <v>51.784794288658276</v>
      </c>
      <c r="DP466" s="66">
        <v>48.4</v>
      </c>
      <c r="DQ466" s="67">
        <v>93840</v>
      </c>
      <c r="DR466" s="53">
        <v>9</v>
      </c>
      <c r="DS466" s="58">
        <v>70</v>
      </c>
      <c r="DT466" s="53">
        <v>44.9</v>
      </c>
      <c r="DU466" s="55">
        <v>2.71</v>
      </c>
      <c r="DV466" s="102">
        <v>34.299999999999997</v>
      </c>
      <c r="DW466" s="53">
        <v>92</v>
      </c>
      <c r="DX466" s="53">
        <v>64.97</v>
      </c>
      <c r="DY466" s="53">
        <v>44.3506</v>
      </c>
      <c r="DZ466" s="63"/>
    </row>
    <row r="467" spans="1:130" s="5" customFormat="1" ht="14.25" hidden="1" customHeight="1">
      <c r="A467" s="45">
        <v>1408</v>
      </c>
      <c r="B467" s="46" t="s">
        <v>384</v>
      </c>
      <c r="C467" s="47">
        <v>2014</v>
      </c>
      <c r="D467" s="47" t="s">
        <v>385</v>
      </c>
      <c r="E467" s="46" t="s">
        <v>22</v>
      </c>
      <c r="F467" s="46">
        <v>4</v>
      </c>
      <c r="G467" s="48">
        <v>11000</v>
      </c>
      <c r="H467" s="46" t="s">
        <v>332</v>
      </c>
      <c r="I467" s="46">
        <v>1</v>
      </c>
      <c r="J467" s="46">
        <v>3</v>
      </c>
      <c r="K467" s="49" t="s">
        <v>386</v>
      </c>
      <c r="L467" s="49" t="s">
        <v>30</v>
      </c>
      <c r="M467" s="49" t="s">
        <v>29</v>
      </c>
      <c r="N467" s="49" t="s">
        <v>513</v>
      </c>
      <c r="O467" s="49">
        <v>2000</v>
      </c>
      <c r="P467" s="49" t="s">
        <v>31</v>
      </c>
      <c r="Q467" s="49" t="s">
        <v>29</v>
      </c>
      <c r="R467" s="49">
        <v>1</v>
      </c>
      <c r="S467" s="50">
        <f t="shared" si="223"/>
        <v>33.333333333333329</v>
      </c>
      <c r="T467" s="49">
        <v>1</v>
      </c>
      <c r="U467" s="50">
        <f t="shared" si="224"/>
        <v>33.333333333333329</v>
      </c>
      <c r="V467" s="49" t="s">
        <v>173</v>
      </c>
      <c r="W467" s="49">
        <v>0</v>
      </c>
      <c r="X467" s="50">
        <f t="shared" si="225"/>
        <v>0</v>
      </c>
      <c r="Y467" s="51" t="str">
        <f t="shared" si="226"/>
        <v>No</v>
      </c>
      <c r="Z467" s="49" t="s">
        <v>29</v>
      </c>
      <c r="AA467" s="49" t="s">
        <v>29</v>
      </c>
      <c r="AB467" s="49" t="s">
        <v>29</v>
      </c>
      <c r="AC467" s="46" t="s">
        <v>26</v>
      </c>
      <c r="AD467" s="46" t="s">
        <v>27</v>
      </c>
      <c r="AE467" s="46" t="s">
        <v>73</v>
      </c>
      <c r="AF467" s="46" t="s">
        <v>29</v>
      </c>
      <c r="AG467" s="103">
        <v>23614</v>
      </c>
      <c r="AH467" s="52">
        <v>20795</v>
      </c>
      <c r="AI467" s="52">
        <v>20795</v>
      </c>
      <c r="AJ467" s="102">
        <v>38.72</v>
      </c>
      <c r="AK467" s="104">
        <v>77.44</v>
      </c>
      <c r="AL467" s="102">
        <v>38.72</v>
      </c>
      <c r="AM467" s="102"/>
      <c r="AN467" s="53">
        <f t="shared" si="227"/>
        <v>77.44</v>
      </c>
      <c r="AO467" s="53">
        <v>32.79</v>
      </c>
      <c r="AP467" s="102">
        <f t="shared" si="234"/>
        <v>2819</v>
      </c>
      <c r="AQ467" s="102">
        <f t="shared" si="235"/>
        <v>11.937833488608453</v>
      </c>
      <c r="AR467" s="102"/>
      <c r="AS467" s="102"/>
      <c r="AT467" s="102"/>
      <c r="AU467" s="102"/>
      <c r="AV467" s="102"/>
      <c r="AW467" s="102"/>
      <c r="AX467" s="102"/>
      <c r="AY467" s="102"/>
      <c r="AZ467" s="102"/>
      <c r="BA467" s="102"/>
      <c r="BB467" s="102"/>
      <c r="BC467" s="102"/>
      <c r="BD467" s="102"/>
      <c r="BE467" s="102"/>
      <c r="BF467" s="102"/>
      <c r="BG467" s="102"/>
      <c r="BH467" s="102"/>
      <c r="BI467" s="102"/>
      <c r="BJ467" s="102"/>
      <c r="BK467" s="102"/>
      <c r="BL467" s="102"/>
      <c r="BM467" s="102"/>
      <c r="BN467" s="102"/>
      <c r="BO467" s="102"/>
      <c r="BP467" s="102"/>
      <c r="BQ467" s="102"/>
      <c r="BR467" s="102"/>
      <c r="BS467" s="54" t="s">
        <v>23</v>
      </c>
      <c r="BT467" s="45" t="str">
        <f t="shared" si="237"/>
        <v>Yes</v>
      </c>
      <c r="BU467" s="45" t="str">
        <f t="shared" si="238"/>
        <v>Yes</v>
      </c>
      <c r="BV467" s="45" t="str">
        <f t="shared" si="239"/>
        <v>No</v>
      </c>
      <c r="BW467" s="55">
        <v>73.792749999999998</v>
      </c>
      <c r="BX467" s="55">
        <v>73.792749999999998</v>
      </c>
      <c r="BY467" s="55">
        <v>71.862749999999991</v>
      </c>
      <c r="BZ467" s="55">
        <f t="shared" si="240"/>
        <v>71.862749999999991</v>
      </c>
      <c r="CA467" s="45">
        <v>2012</v>
      </c>
      <c r="CB467" s="55">
        <f t="shared" si="230"/>
        <v>30.846250834384037</v>
      </c>
      <c r="CC467" s="46" t="s">
        <v>355</v>
      </c>
      <c r="CD467" s="46" t="s">
        <v>179</v>
      </c>
      <c r="CE467" s="46" t="s">
        <v>179</v>
      </c>
      <c r="CF467" s="46">
        <v>1</v>
      </c>
      <c r="CG467" s="46" t="str">
        <f t="shared" si="231"/>
        <v>No</v>
      </c>
      <c r="CH467" s="46" t="s">
        <v>35</v>
      </c>
      <c r="CI467" s="56">
        <v>0</v>
      </c>
      <c r="CJ467" s="46">
        <v>20</v>
      </c>
      <c r="CK467" s="46" t="s">
        <v>23</v>
      </c>
      <c r="CL467" s="49" t="s">
        <v>29</v>
      </c>
      <c r="CM467" s="50">
        <v>0</v>
      </c>
      <c r="CN467" s="50"/>
      <c r="CO467" s="50"/>
      <c r="CP467" s="46" t="s">
        <v>23</v>
      </c>
      <c r="CQ467" s="46" t="s">
        <v>24</v>
      </c>
      <c r="CR467" s="46">
        <v>7</v>
      </c>
      <c r="CS467" s="46" t="s">
        <v>854</v>
      </c>
      <c r="CT467" s="46" t="s">
        <v>53</v>
      </c>
      <c r="CU467" s="46" t="s">
        <v>29</v>
      </c>
      <c r="CV467" s="46" t="s">
        <v>23</v>
      </c>
      <c r="CW467" s="46" t="s">
        <v>23</v>
      </c>
      <c r="CX467" s="49" t="s">
        <v>294</v>
      </c>
      <c r="CY467" s="49" t="s">
        <v>295</v>
      </c>
      <c r="CZ467" s="49">
        <v>0</v>
      </c>
      <c r="DA467" s="49">
        <v>0</v>
      </c>
      <c r="DB467" s="64">
        <v>67415</v>
      </c>
      <c r="DC467" s="58">
        <v>48.215205711341724</v>
      </c>
      <c r="DD467" s="58">
        <v>3.7462280120703615</v>
      </c>
      <c r="DE467" s="58">
        <v>15.522190328990948</v>
      </c>
      <c r="DF467" s="58">
        <v>29.219106498859205</v>
      </c>
      <c r="DG467" s="58">
        <v>3.2972694487377607</v>
      </c>
      <c r="DH467" s="58">
        <v>51.784794288658276</v>
      </c>
      <c r="DI467" s="45" t="s">
        <v>35</v>
      </c>
      <c r="DJ467" s="59" t="str">
        <f t="shared" si="232"/>
        <v>No single majority group</v>
      </c>
      <c r="DK467" s="65">
        <v>67415</v>
      </c>
      <c r="DL467" s="58">
        <v>48.215205711341724</v>
      </c>
      <c r="DM467" s="58">
        <v>3.7462280120703615</v>
      </c>
      <c r="DN467" s="58">
        <v>15.522190328990948</v>
      </c>
      <c r="DO467" s="58">
        <v>51.784794288658276</v>
      </c>
      <c r="DP467" s="66">
        <v>48.4</v>
      </c>
      <c r="DQ467" s="67">
        <v>93840</v>
      </c>
      <c r="DR467" s="53">
        <v>9</v>
      </c>
      <c r="DS467" s="58">
        <v>70</v>
      </c>
      <c r="DT467" s="53">
        <v>44.9</v>
      </c>
      <c r="DU467" s="55">
        <v>2.71</v>
      </c>
      <c r="DV467" s="102">
        <v>34.299999999999997</v>
      </c>
      <c r="DW467" s="53">
        <v>92</v>
      </c>
      <c r="DX467" s="53">
        <v>64.97</v>
      </c>
      <c r="DY467" s="53">
        <v>44.3506</v>
      </c>
      <c r="DZ467" s="63"/>
    </row>
    <row r="468" spans="1:130" s="171" customFormat="1" ht="14.25" hidden="1" customHeight="1">
      <c r="A468" s="45">
        <v>1407</v>
      </c>
      <c r="B468" s="46" t="s">
        <v>384</v>
      </c>
      <c r="C468" s="47">
        <v>2014</v>
      </c>
      <c r="D468" s="47" t="s">
        <v>387</v>
      </c>
      <c r="E468" s="46" t="s">
        <v>22</v>
      </c>
      <c r="F468" s="46">
        <v>4</v>
      </c>
      <c r="G468" s="48">
        <v>11000</v>
      </c>
      <c r="H468" s="46" t="s">
        <v>332</v>
      </c>
      <c r="I468" s="46">
        <v>1</v>
      </c>
      <c r="J468" s="46">
        <v>3</v>
      </c>
      <c r="K468" s="49" t="s">
        <v>388</v>
      </c>
      <c r="L468" s="49" t="s">
        <v>30</v>
      </c>
      <c r="M468" s="49" t="s">
        <v>29</v>
      </c>
      <c r="N468" s="49" t="s">
        <v>512</v>
      </c>
      <c r="O468" s="49">
        <v>2002</v>
      </c>
      <c r="P468" s="49" t="s">
        <v>31</v>
      </c>
      <c r="Q468" s="49" t="s">
        <v>29</v>
      </c>
      <c r="R468" s="49">
        <v>1</v>
      </c>
      <c r="S468" s="102">
        <f t="shared" si="223"/>
        <v>33.333333333333329</v>
      </c>
      <c r="T468" s="49">
        <v>1</v>
      </c>
      <c r="U468" s="102">
        <f t="shared" si="224"/>
        <v>33.333333333333329</v>
      </c>
      <c r="V468" s="49" t="s">
        <v>173</v>
      </c>
      <c r="W468" s="49">
        <v>0</v>
      </c>
      <c r="X468" s="102">
        <f t="shared" si="225"/>
        <v>0</v>
      </c>
      <c r="Y468" s="51" t="str">
        <f t="shared" si="226"/>
        <v>No</v>
      </c>
      <c r="Z468" s="49" t="s">
        <v>35</v>
      </c>
      <c r="AA468" s="49" t="s">
        <v>23</v>
      </c>
      <c r="AB468" s="49" t="s">
        <v>23</v>
      </c>
      <c r="AC468" s="46" t="s">
        <v>26</v>
      </c>
      <c r="AD468" s="46" t="s">
        <v>27</v>
      </c>
      <c r="AE468" s="46" t="s">
        <v>73</v>
      </c>
      <c r="AF468" s="46" t="s">
        <v>29</v>
      </c>
      <c r="AG468" s="103">
        <v>23614</v>
      </c>
      <c r="AH468" s="52">
        <v>20426</v>
      </c>
      <c r="AI468" s="52">
        <v>20426</v>
      </c>
      <c r="AJ468" s="102">
        <v>39.369999999999997</v>
      </c>
      <c r="AK468" s="104">
        <v>78.739999999999995</v>
      </c>
      <c r="AL468" s="102">
        <v>39.369999999999997</v>
      </c>
      <c r="AM468" s="102"/>
      <c r="AN468" s="53">
        <f t="shared" si="227"/>
        <v>78.739999999999995</v>
      </c>
      <c r="AO468" s="53">
        <v>35.33</v>
      </c>
      <c r="AP468" s="102">
        <f t="shared" si="234"/>
        <v>3188</v>
      </c>
      <c r="AQ468" s="102">
        <f t="shared" si="235"/>
        <v>13.500465825357837</v>
      </c>
      <c r="AR468" s="102"/>
      <c r="AS468" s="102"/>
      <c r="AT468" s="102"/>
      <c r="AU468" s="102"/>
      <c r="AV468" s="102"/>
      <c r="AW468" s="102"/>
      <c r="AX468" s="102"/>
      <c r="AY468" s="102"/>
      <c r="AZ468" s="102"/>
      <c r="BA468" s="102"/>
      <c r="BB468" s="102"/>
      <c r="BC468" s="102"/>
      <c r="BD468" s="102"/>
      <c r="BE468" s="102"/>
      <c r="BF468" s="102"/>
      <c r="BG468" s="102"/>
      <c r="BH468" s="102"/>
      <c r="BI468" s="102"/>
      <c r="BJ468" s="102"/>
      <c r="BK468" s="102"/>
      <c r="BL468" s="102"/>
      <c r="BM468" s="102"/>
      <c r="BN468" s="102"/>
      <c r="BO468" s="102"/>
      <c r="BP468" s="102"/>
      <c r="BQ468" s="102"/>
      <c r="BR468" s="102"/>
      <c r="BS468" s="54" t="s">
        <v>23</v>
      </c>
      <c r="BT468" s="45" t="str">
        <f t="shared" si="237"/>
        <v>Yes</v>
      </c>
      <c r="BU468" s="45" t="str">
        <f t="shared" si="238"/>
        <v>Yes</v>
      </c>
      <c r="BV468" s="45" t="str">
        <f t="shared" si="239"/>
        <v>Yes</v>
      </c>
      <c r="BW468" s="105">
        <v>73.792749999999998</v>
      </c>
      <c r="BX468" s="105">
        <v>73.792749999999998</v>
      </c>
      <c r="BY468" s="105">
        <v>71.862749999999991</v>
      </c>
      <c r="BZ468" s="105">
        <f t="shared" si="240"/>
        <v>71.862749999999991</v>
      </c>
      <c r="CA468" s="45">
        <v>2012</v>
      </c>
      <c r="CB468" s="105">
        <f t="shared" si="230"/>
        <v>30.298894904694802</v>
      </c>
      <c r="CC468" s="46" t="s">
        <v>355</v>
      </c>
      <c r="CD468" s="46" t="s">
        <v>179</v>
      </c>
      <c r="CE468" s="46" t="s">
        <v>179</v>
      </c>
      <c r="CF468" s="46">
        <v>1</v>
      </c>
      <c r="CG468" s="46" t="str">
        <f t="shared" si="231"/>
        <v>No</v>
      </c>
      <c r="CH468" s="46" t="s">
        <v>35</v>
      </c>
      <c r="CI468" s="56">
        <v>0</v>
      </c>
      <c r="CJ468" s="46">
        <v>20</v>
      </c>
      <c r="CK468" s="46" t="s">
        <v>23</v>
      </c>
      <c r="CL468" s="49" t="s">
        <v>29</v>
      </c>
      <c r="CM468" s="102">
        <v>0</v>
      </c>
      <c r="CN468" s="102"/>
      <c r="CO468" s="102"/>
      <c r="CP468" s="46" t="s">
        <v>23</v>
      </c>
      <c r="CQ468" s="46" t="s">
        <v>24</v>
      </c>
      <c r="CR468" s="46">
        <v>7</v>
      </c>
      <c r="CS468" s="46" t="s">
        <v>854</v>
      </c>
      <c r="CT468" s="46" t="s">
        <v>53</v>
      </c>
      <c r="CU468" s="46" t="s">
        <v>29</v>
      </c>
      <c r="CV468" s="46" t="s">
        <v>23</v>
      </c>
      <c r="CW468" s="46" t="s">
        <v>23</v>
      </c>
      <c r="CX468" s="49" t="s">
        <v>294</v>
      </c>
      <c r="CY468" s="49" t="s">
        <v>295</v>
      </c>
      <c r="CZ468" s="49">
        <v>0</v>
      </c>
      <c r="DA468" s="49">
        <v>0</v>
      </c>
      <c r="DB468" s="64">
        <v>67415</v>
      </c>
      <c r="DC468" s="58">
        <v>48.215205711341724</v>
      </c>
      <c r="DD468" s="58">
        <v>3.7462280120703615</v>
      </c>
      <c r="DE468" s="58">
        <v>15.522190328990948</v>
      </c>
      <c r="DF468" s="58">
        <v>29.219106498859205</v>
      </c>
      <c r="DG468" s="58">
        <v>3.2972694487377607</v>
      </c>
      <c r="DH468" s="58">
        <v>51.784794288658276</v>
      </c>
      <c r="DI468" s="45" t="s">
        <v>35</v>
      </c>
      <c r="DJ468" s="59" t="str">
        <f t="shared" si="232"/>
        <v>No single majority group</v>
      </c>
      <c r="DK468" s="65">
        <v>67415</v>
      </c>
      <c r="DL468" s="58">
        <v>48.215205711341724</v>
      </c>
      <c r="DM468" s="58">
        <v>3.7462280120703615</v>
      </c>
      <c r="DN468" s="58">
        <v>15.522190328990948</v>
      </c>
      <c r="DO468" s="58">
        <v>51.784794288658276</v>
      </c>
      <c r="DP468" s="66">
        <v>48.4</v>
      </c>
      <c r="DQ468" s="67">
        <v>93840</v>
      </c>
      <c r="DR468" s="53">
        <v>9</v>
      </c>
      <c r="DS468" s="58">
        <v>70</v>
      </c>
      <c r="DT468" s="53">
        <v>44.9</v>
      </c>
      <c r="DU468" s="105">
        <v>2.71</v>
      </c>
      <c r="DV468" s="102">
        <v>34.299999999999997</v>
      </c>
      <c r="DW468" s="53">
        <v>92</v>
      </c>
      <c r="DX468" s="53">
        <v>64.97</v>
      </c>
      <c r="DY468" s="53">
        <v>44.3506</v>
      </c>
      <c r="DZ468" s="63"/>
    </row>
    <row r="469" spans="1:130" s="5" customFormat="1" ht="14.25" hidden="1" customHeight="1">
      <c r="A469" s="45">
        <v>1409</v>
      </c>
      <c r="B469" s="46" t="s">
        <v>384</v>
      </c>
      <c r="C469" s="47">
        <v>2014</v>
      </c>
      <c r="D469" s="47" t="s">
        <v>38</v>
      </c>
      <c r="E469" s="46" t="s">
        <v>22</v>
      </c>
      <c r="F469" s="46">
        <v>4</v>
      </c>
      <c r="G469" s="48">
        <v>18000</v>
      </c>
      <c r="H469" s="46" t="s">
        <v>332</v>
      </c>
      <c r="I469" s="46">
        <v>1</v>
      </c>
      <c r="J469" s="46">
        <v>2</v>
      </c>
      <c r="K469" s="49" t="s">
        <v>389</v>
      </c>
      <c r="L469" s="49" t="s">
        <v>30</v>
      </c>
      <c r="M469" s="49" t="s">
        <v>29</v>
      </c>
      <c r="N469" s="49" t="s">
        <v>513</v>
      </c>
      <c r="O469" s="49">
        <v>2010</v>
      </c>
      <c r="P469" s="49" t="s">
        <v>31</v>
      </c>
      <c r="Q469" s="49" t="s">
        <v>29</v>
      </c>
      <c r="R469" s="49">
        <v>1</v>
      </c>
      <c r="S469" s="50">
        <f t="shared" si="223"/>
        <v>50</v>
      </c>
      <c r="T469" s="49">
        <v>0</v>
      </c>
      <c r="U469" s="50">
        <f t="shared" si="224"/>
        <v>0</v>
      </c>
      <c r="V469" s="45"/>
      <c r="W469" s="49">
        <v>0</v>
      </c>
      <c r="X469" s="50">
        <f t="shared" si="225"/>
        <v>0</v>
      </c>
      <c r="Y469" s="51" t="str">
        <f t="shared" si="226"/>
        <v>No</v>
      </c>
      <c r="Z469" s="49" t="s">
        <v>29</v>
      </c>
      <c r="AA469" s="49" t="s">
        <v>29</v>
      </c>
      <c r="AB469" s="49" t="s">
        <v>29</v>
      </c>
      <c r="AC469" s="46" t="s">
        <v>26</v>
      </c>
      <c r="AD469" s="46" t="s">
        <v>27</v>
      </c>
      <c r="AE469" s="46" t="s">
        <v>73</v>
      </c>
      <c r="AF469" s="46" t="s">
        <v>29</v>
      </c>
      <c r="AG469" s="103">
        <v>23614</v>
      </c>
      <c r="AH469" s="52">
        <v>21380</v>
      </c>
      <c r="AI469" s="52">
        <v>21380</v>
      </c>
      <c r="AJ469" s="102">
        <v>69.64</v>
      </c>
      <c r="AK469" s="104">
        <v>139.28</v>
      </c>
      <c r="AL469" s="102">
        <v>69.64</v>
      </c>
      <c r="AM469" s="102"/>
      <c r="AN469" s="53">
        <f t="shared" si="227"/>
        <v>139.28</v>
      </c>
      <c r="AO469" s="53">
        <v>30.36</v>
      </c>
      <c r="AP469" s="102">
        <f t="shared" si="234"/>
        <v>2234</v>
      </c>
      <c r="AQ469" s="102">
        <f t="shared" si="235"/>
        <v>9.4604895401033282</v>
      </c>
      <c r="AR469" s="102"/>
      <c r="AS469" s="102"/>
      <c r="AT469" s="102"/>
      <c r="AU469" s="102"/>
      <c r="AV469" s="102"/>
      <c r="AW469" s="102"/>
      <c r="AX469" s="102"/>
      <c r="AY469" s="102"/>
      <c r="AZ469" s="102"/>
      <c r="BA469" s="102"/>
      <c r="BB469" s="102"/>
      <c r="BC469" s="102"/>
      <c r="BD469" s="102"/>
      <c r="BE469" s="102"/>
      <c r="BF469" s="102"/>
      <c r="BG469" s="102"/>
      <c r="BH469" s="102"/>
      <c r="BI469" s="102"/>
      <c r="BJ469" s="102"/>
      <c r="BK469" s="102"/>
      <c r="BL469" s="102"/>
      <c r="BM469" s="102"/>
      <c r="BN469" s="102"/>
      <c r="BO469" s="102"/>
      <c r="BP469" s="102"/>
      <c r="BQ469" s="102"/>
      <c r="BR469" s="102"/>
      <c r="BS469" s="54" t="s">
        <v>23</v>
      </c>
      <c r="BT469" s="45" t="str">
        <f t="shared" si="237"/>
        <v>No</v>
      </c>
      <c r="BU469" s="45" t="str">
        <f t="shared" si="238"/>
        <v>No</v>
      </c>
      <c r="BV469" s="45" t="str">
        <f t="shared" si="239"/>
        <v>No</v>
      </c>
      <c r="BW469" s="55">
        <v>73.792749999999998</v>
      </c>
      <c r="BX469" s="55">
        <v>73.792749999999998</v>
      </c>
      <c r="BY469" s="55">
        <v>71.862749999999991</v>
      </c>
      <c r="BZ469" s="55">
        <f t="shared" si="240"/>
        <v>71.862749999999991</v>
      </c>
      <c r="CA469" s="45">
        <v>2012</v>
      </c>
      <c r="CB469" s="55">
        <f t="shared" si="230"/>
        <v>31.71401023511088</v>
      </c>
      <c r="CC469" s="46" t="s">
        <v>39</v>
      </c>
      <c r="CD469" s="46" t="s">
        <v>179</v>
      </c>
      <c r="CE469" s="46" t="s">
        <v>179</v>
      </c>
      <c r="CF469" s="46">
        <v>1</v>
      </c>
      <c r="CG469" s="46" t="str">
        <f t="shared" si="231"/>
        <v>No</v>
      </c>
      <c r="CH469" s="46" t="s">
        <v>35</v>
      </c>
      <c r="CI469" s="56">
        <v>0</v>
      </c>
      <c r="CJ469" s="46">
        <v>20</v>
      </c>
      <c r="CK469" s="46" t="s">
        <v>23</v>
      </c>
      <c r="CL469" s="49" t="s">
        <v>29</v>
      </c>
      <c r="CM469" s="50">
        <v>0</v>
      </c>
      <c r="CN469" s="50">
        <v>38898.269999999997</v>
      </c>
      <c r="CO469" s="50" t="s">
        <v>35</v>
      </c>
      <c r="CP469" s="46" t="s">
        <v>23</v>
      </c>
      <c r="CQ469" s="46" t="s">
        <v>23</v>
      </c>
      <c r="CR469" s="46">
        <v>7</v>
      </c>
      <c r="CS469" s="46" t="s">
        <v>854</v>
      </c>
      <c r="CT469" s="46" t="s">
        <v>53</v>
      </c>
      <c r="CU469" s="46" t="s">
        <v>29</v>
      </c>
      <c r="CV469" s="46" t="s">
        <v>23</v>
      </c>
      <c r="CW469" s="46" t="s">
        <v>23</v>
      </c>
      <c r="CX469" s="49" t="s">
        <v>294</v>
      </c>
      <c r="CY469" s="49" t="s">
        <v>295</v>
      </c>
      <c r="CZ469" s="49">
        <v>0</v>
      </c>
      <c r="DA469" s="49">
        <v>0</v>
      </c>
      <c r="DB469" s="64">
        <v>67415</v>
      </c>
      <c r="DC469" s="58">
        <v>48.215205711341724</v>
      </c>
      <c r="DD469" s="58">
        <v>3.7462280120703615</v>
      </c>
      <c r="DE469" s="58">
        <v>15.522190328990948</v>
      </c>
      <c r="DF469" s="58">
        <v>29.219106498859205</v>
      </c>
      <c r="DG469" s="58">
        <v>3.2972694487377607</v>
      </c>
      <c r="DH469" s="58">
        <v>51.784794288658276</v>
      </c>
      <c r="DI469" s="45" t="s">
        <v>35</v>
      </c>
      <c r="DJ469" s="59" t="str">
        <f t="shared" si="232"/>
        <v>No single majority group</v>
      </c>
      <c r="DK469" s="65">
        <v>67415</v>
      </c>
      <c r="DL469" s="58">
        <v>48.215205711341724</v>
      </c>
      <c r="DM469" s="58">
        <v>3.7462280120703615</v>
      </c>
      <c r="DN469" s="58">
        <v>15.522190328990948</v>
      </c>
      <c r="DO469" s="58">
        <v>51.784794288658276</v>
      </c>
      <c r="DP469" s="66">
        <v>48.4</v>
      </c>
      <c r="DQ469" s="67">
        <v>93840</v>
      </c>
      <c r="DR469" s="53">
        <v>9</v>
      </c>
      <c r="DS469" s="58">
        <v>70</v>
      </c>
      <c r="DT469" s="53">
        <v>44.9</v>
      </c>
      <c r="DU469" s="55">
        <v>2.71</v>
      </c>
      <c r="DV469" s="102">
        <v>34.299999999999997</v>
      </c>
      <c r="DW469" s="53">
        <v>92</v>
      </c>
      <c r="DX469" s="53">
        <v>64.97</v>
      </c>
      <c r="DY469" s="53">
        <v>44.3506</v>
      </c>
      <c r="DZ469" s="63"/>
    </row>
    <row r="470" spans="1:130" s="5" customFormat="1" ht="14.25" hidden="1" customHeight="1">
      <c r="A470" s="45">
        <v>1460</v>
      </c>
      <c r="B470" s="46" t="s">
        <v>406</v>
      </c>
      <c r="C470" s="47">
        <v>2000</v>
      </c>
      <c r="D470" s="47" t="s">
        <v>91</v>
      </c>
      <c r="E470" s="46" t="s">
        <v>92</v>
      </c>
      <c r="F470" s="46">
        <v>4</v>
      </c>
      <c r="G470" s="48">
        <v>23927</v>
      </c>
      <c r="H470" s="46" t="s">
        <v>332</v>
      </c>
      <c r="I470" s="46">
        <v>1</v>
      </c>
      <c r="J470" s="46">
        <v>2</v>
      </c>
      <c r="K470" s="49" t="s">
        <v>430</v>
      </c>
      <c r="L470" s="49" t="s">
        <v>30</v>
      </c>
      <c r="M470" s="49" t="s">
        <v>29</v>
      </c>
      <c r="N470" s="49" t="s">
        <v>513</v>
      </c>
      <c r="O470" s="49"/>
      <c r="P470" s="49" t="s">
        <v>31</v>
      </c>
      <c r="Q470" s="49" t="s">
        <v>29</v>
      </c>
      <c r="R470" s="49">
        <v>0</v>
      </c>
      <c r="S470" s="50">
        <f t="shared" si="223"/>
        <v>0</v>
      </c>
      <c r="T470" s="49">
        <v>0</v>
      </c>
      <c r="U470" s="50">
        <f t="shared" si="224"/>
        <v>0</v>
      </c>
      <c r="V470" s="45"/>
      <c r="W470" s="49">
        <v>0</v>
      </c>
      <c r="X470" s="50">
        <f t="shared" si="225"/>
        <v>0</v>
      </c>
      <c r="Y470" s="51" t="str">
        <f t="shared" si="226"/>
        <v>No</v>
      </c>
      <c r="Z470" s="45" t="s">
        <v>29</v>
      </c>
      <c r="AA470" s="49" t="s">
        <v>29</v>
      </c>
      <c r="AB470" s="49" t="s">
        <v>29</v>
      </c>
      <c r="AC470" s="46" t="s">
        <v>26</v>
      </c>
      <c r="AD470" s="46" t="s">
        <v>27</v>
      </c>
      <c r="AE470" s="46" t="s">
        <v>89</v>
      </c>
      <c r="AF470" s="46" t="s">
        <v>29</v>
      </c>
      <c r="AG470" s="103"/>
      <c r="AH470" s="64"/>
      <c r="AI470" s="52">
        <v>57344</v>
      </c>
      <c r="AJ470" s="102">
        <v>60.5</v>
      </c>
      <c r="AK470" s="104">
        <v>121</v>
      </c>
      <c r="AL470" s="102">
        <v>66</v>
      </c>
      <c r="AM470" s="102"/>
      <c r="AN470" s="53">
        <f t="shared" si="227"/>
        <v>132</v>
      </c>
      <c r="AO470" s="53">
        <v>39.5</v>
      </c>
      <c r="AP470" s="102"/>
      <c r="AQ470" s="102"/>
      <c r="AR470" s="102"/>
      <c r="AS470" s="102"/>
      <c r="AT470" s="102"/>
      <c r="AU470" s="102"/>
      <c r="AV470" s="102"/>
      <c r="AW470" s="102"/>
      <c r="AX470" s="102"/>
      <c r="AY470" s="102"/>
      <c r="AZ470" s="102"/>
      <c r="BA470" s="102"/>
      <c r="BB470" s="102"/>
      <c r="BC470" s="102"/>
      <c r="BD470" s="102"/>
      <c r="BE470" s="102"/>
      <c r="BF470" s="102"/>
      <c r="BG470" s="102"/>
      <c r="BH470" s="102"/>
      <c r="BI470" s="102"/>
      <c r="BJ470" s="102"/>
      <c r="BK470" s="102"/>
      <c r="BL470" s="102"/>
      <c r="BM470" s="102"/>
      <c r="BN470" s="102"/>
      <c r="BO470" s="102"/>
      <c r="BP470" s="102"/>
      <c r="BQ470" s="102"/>
      <c r="BR470" s="102"/>
      <c r="BS470" s="54" t="s">
        <v>29</v>
      </c>
      <c r="BT470" s="45" t="str">
        <f t="shared" si="237"/>
        <v>Yes</v>
      </c>
      <c r="BU470" s="45" t="str">
        <f t="shared" si="238"/>
        <v>No</v>
      </c>
      <c r="BV470" s="45" t="str">
        <f t="shared" si="239"/>
        <v>No</v>
      </c>
      <c r="BW470" s="55">
        <v>59.413921780850686</v>
      </c>
      <c r="BX470" s="55"/>
      <c r="BY470" s="55">
        <v>59.158921780850683</v>
      </c>
      <c r="BZ470" s="55"/>
      <c r="CA470" s="45">
        <v>2000</v>
      </c>
      <c r="CB470" s="55">
        <f t="shared" si="230"/>
        <v>93.158963528551695</v>
      </c>
      <c r="CC470" s="46" t="s">
        <v>491</v>
      </c>
      <c r="CD470" s="46" t="s">
        <v>494</v>
      </c>
      <c r="CE470" s="46" t="s">
        <v>783</v>
      </c>
      <c r="CF470" s="46">
        <v>2</v>
      </c>
      <c r="CG470" s="46" t="str">
        <f t="shared" si="231"/>
        <v>No</v>
      </c>
      <c r="CH470" s="46" t="s">
        <v>35</v>
      </c>
      <c r="CI470" s="56">
        <v>0</v>
      </c>
      <c r="CJ470" s="46">
        <v>10</v>
      </c>
      <c r="CK470" s="46" t="s">
        <v>23</v>
      </c>
      <c r="CL470" s="49" t="s">
        <v>29</v>
      </c>
      <c r="CM470" s="50">
        <v>0</v>
      </c>
      <c r="CN470" s="50"/>
      <c r="CO470" s="50"/>
      <c r="CP470" s="46" t="s">
        <v>35</v>
      </c>
      <c r="CQ470" s="46" t="s">
        <v>24</v>
      </c>
      <c r="CR470" s="46">
        <v>7</v>
      </c>
      <c r="CS470" s="46" t="s">
        <v>854</v>
      </c>
      <c r="CT470" s="46" t="s">
        <v>53</v>
      </c>
      <c r="CU470" s="46" t="s">
        <v>29</v>
      </c>
      <c r="CV470" s="46" t="s">
        <v>23</v>
      </c>
      <c r="CW470" s="46" t="s">
        <v>23</v>
      </c>
      <c r="CX470" s="45"/>
      <c r="CY470" s="45" t="s">
        <v>916</v>
      </c>
      <c r="CZ470" s="49">
        <v>0</v>
      </c>
      <c r="DA470" s="49">
        <v>0</v>
      </c>
      <c r="DB470" s="64">
        <v>61555</v>
      </c>
      <c r="DC470" s="58">
        <v>46.089999999999996</v>
      </c>
      <c r="DD470" s="58">
        <v>12.030000000000001</v>
      </c>
      <c r="DE470" s="58">
        <v>23.5</v>
      </c>
      <c r="DF470" s="58">
        <v>13.48</v>
      </c>
      <c r="DG470" s="58">
        <v>4.9000000000000039</v>
      </c>
      <c r="DH470" s="58">
        <v>53.910000000000004</v>
      </c>
      <c r="DI470" s="45" t="s">
        <v>35</v>
      </c>
      <c r="DJ470" s="59" t="str">
        <f t="shared" si="232"/>
        <v>No single majority group</v>
      </c>
      <c r="DK470" s="65">
        <v>20338.71</v>
      </c>
      <c r="DL470" s="58">
        <v>77.2</v>
      </c>
      <c r="DM470" s="58">
        <v>2.23</v>
      </c>
      <c r="DN470" s="58">
        <v>5.6800000000000006</v>
      </c>
      <c r="DO470" s="58">
        <v>50.940000000000005</v>
      </c>
      <c r="DP470" s="66">
        <v>51.3</v>
      </c>
      <c r="DQ470" s="67">
        <v>48739.85</v>
      </c>
      <c r="DR470" s="53">
        <v>23.9</v>
      </c>
      <c r="DS470" s="58">
        <v>63.8</v>
      </c>
      <c r="DT470" s="53">
        <v>51.6</v>
      </c>
      <c r="DU470" s="55">
        <v>3.04</v>
      </c>
      <c r="DV470" s="102">
        <v>29.8</v>
      </c>
      <c r="DW470" s="53">
        <v>68.2</v>
      </c>
      <c r="DX470" s="53">
        <v>68.822699999999998</v>
      </c>
      <c r="DY470" s="53">
        <v>47.498899999999999</v>
      </c>
      <c r="DZ470" s="63"/>
    </row>
    <row r="471" spans="1:130" s="5" customFormat="1" ht="14.25" hidden="1" customHeight="1">
      <c r="A471" s="45">
        <v>1461</v>
      </c>
      <c r="B471" s="46" t="s">
        <v>406</v>
      </c>
      <c r="C471" s="47">
        <v>2000</v>
      </c>
      <c r="D471" s="47" t="s">
        <v>79</v>
      </c>
      <c r="E471" s="46" t="s">
        <v>80</v>
      </c>
      <c r="F471" s="46">
        <v>4</v>
      </c>
      <c r="G471" s="48">
        <v>23927</v>
      </c>
      <c r="H471" s="46" t="s">
        <v>332</v>
      </c>
      <c r="I471" s="46">
        <v>1</v>
      </c>
      <c r="J471" s="46">
        <v>2</v>
      </c>
      <c r="K471" s="49" t="s">
        <v>431</v>
      </c>
      <c r="L471" s="49" t="s">
        <v>30</v>
      </c>
      <c r="M471" s="49" t="s">
        <v>29</v>
      </c>
      <c r="N471" s="49" t="s">
        <v>513</v>
      </c>
      <c r="O471" s="49"/>
      <c r="P471" s="49" t="s">
        <v>31</v>
      </c>
      <c r="Q471" s="49" t="s">
        <v>29</v>
      </c>
      <c r="R471" s="49">
        <v>0</v>
      </c>
      <c r="S471" s="50">
        <f t="shared" si="223"/>
        <v>0</v>
      </c>
      <c r="T471" s="49">
        <v>0</v>
      </c>
      <c r="U471" s="50">
        <f t="shared" si="224"/>
        <v>0</v>
      </c>
      <c r="V471" s="45"/>
      <c r="W471" s="49">
        <v>0</v>
      </c>
      <c r="X471" s="50">
        <f t="shared" si="225"/>
        <v>0</v>
      </c>
      <c r="Y471" s="51" t="str">
        <f t="shared" si="226"/>
        <v>No</v>
      </c>
      <c r="Z471" s="45" t="s">
        <v>29</v>
      </c>
      <c r="AA471" s="49" t="s">
        <v>29</v>
      </c>
      <c r="AB471" s="49" t="s">
        <v>29</v>
      </c>
      <c r="AC471" s="46" t="s">
        <v>26</v>
      </c>
      <c r="AD471" s="46" t="s">
        <v>27</v>
      </c>
      <c r="AE471" s="46" t="s">
        <v>89</v>
      </c>
      <c r="AF471" s="46" t="s">
        <v>29</v>
      </c>
      <c r="AG471" s="103"/>
      <c r="AH471" s="64"/>
      <c r="AI471" s="52">
        <v>56888</v>
      </c>
      <c r="AJ471" s="102">
        <v>78.7</v>
      </c>
      <c r="AK471" s="104">
        <v>157.4</v>
      </c>
      <c r="AL471" s="102">
        <v>73.599999999999994</v>
      </c>
      <c r="AM471" s="102"/>
      <c r="AN471" s="53">
        <f t="shared" si="227"/>
        <v>147.19999999999999</v>
      </c>
      <c r="AO471" s="53">
        <v>21.3</v>
      </c>
      <c r="AP471" s="102"/>
      <c r="AQ471" s="102"/>
      <c r="AR471" s="102"/>
      <c r="AS471" s="102"/>
      <c r="AT471" s="102"/>
      <c r="AU471" s="102"/>
      <c r="AV471" s="102"/>
      <c r="AW471" s="102"/>
      <c r="AX471" s="102"/>
      <c r="AY471" s="102"/>
      <c r="AZ471" s="102"/>
      <c r="BA471" s="102"/>
      <c r="BB471" s="102"/>
      <c r="BC471" s="102"/>
      <c r="BD471" s="102"/>
      <c r="BE471" s="102"/>
      <c r="BF471" s="102"/>
      <c r="BG471" s="102"/>
      <c r="BH471" s="102"/>
      <c r="BI471" s="102"/>
      <c r="BJ471" s="102"/>
      <c r="BK471" s="102"/>
      <c r="BL471" s="102"/>
      <c r="BM471" s="102"/>
      <c r="BN471" s="102"/>
      <c r="BO471" s="50"/>
      <c r="BP471" s="50"/>
      <c r="BQ471" s="50"/>
      <c r="BR471" s="102"/>
      <c r="BS471" s="54" t="s">
        <v>29</v>
      </c>
      <c r="BT471" s="45" t="str">
        <f t="shared" si="237"/>
        <v>No</v>
      </c>
      <c r="BU471" s="45" t="str">
        <f t="shared" si="238"/>
        <v>No</v>
      </c>
      <c r="BV471" s="45" t="str">
        <f t="shared" si="239"/>
        <v>No</v>
      </c>
      <c r="BW471" s="55">
        <v>59.413921780850686</v>
      </c>
      <c r="BX471" s="55"/>
      <c r="BY471" s="55">
        <v>59.158921780850683</v>
      </c>
      <c r="BZ471" s="55"/>
      <c r="CA471" s="45">
        <v>2000</v>
      </c>
      <c r="CB471" s="55">
        <f t="shared" si="230"/>
        <v>92.418162618796202</v>
      </c>
      <c r="CC471" s="46" t="s">
        <v>491</v>
      </c>
      <c r="CD471" s="46" t="s">
        <v>494</v>
      </c>
      <c r="CE471" s="46" t="s">
        <v>783</v>
      </c>
      <c r="CF471" s="46">
        <v>2</v>
      </c>
      <c r="CG471" s="46" t="str">
        <f t="shared" si="231"/>
        <v>No</v>
      </c>
      <c r="CH471" s="46" t="s">
        <v>35</v>
      </c>
      <c r="CI471" s="56">
        <v>0</v>
      </c>
      <c r="CJ471" s="46">
        <v>10</v>
      </c>
      <c r="CK471" s="46" t="s">
        <v>23</v>
      </c>
      <c r="CL471" s="49" t="s">
        <v>29</v>
      </c>
      <c r="CM471" s="50">
        <v>0</v>
      </c>
      <c r="CN471" s="50"/>
      <c r="CO471" s="50"/>
      <c r="CP471" s="46" t="s">
        <v>35</v>
      </c>
      <c r="CQ471" s="46" t="s">
        <v>24</v>
      </c>
      <c r="CR471" s="46">
        <v>7</v>
      </c>
      <c r="CS471" s="46" t="s">
        <v>854</v>
      </c>
      <c r="CT471" s="46" t="s">
        <v>53</v>
      </c>
      <c r="CU471" s="46" t="s">
        <v>29</v>
      </c>
      <c r="CV471" s="46" t="s">
        <v>23</v>
      </c>
      <c r="CW471" s="46" t="s">
        <v>23</v>
      </c>
      <c r="CX471" s="45"/>
      <c r="CY471" s="45" t="s">
        <v>916</v>
      </c>
      <c r="CZ471" s="49">
        <v>0</v>
      </c>
      <c r="DA471" s="49">
        <v>0</v>
      </c>
      <c r="DB471" s="64">
        <v>61555</v>
      </c>
      <c r="DC471" s="58">
        <v>46.089999999999996</v>
      </c>
      <c r="DD471" s="58">
        <v>12.030000000000001</v>
      </c>
      <c r="DE471" s="58">
        <v>23.5</v>
      </c>
      <c r="DF471" s="58">
        <v>13.48</v>
      </c>
      <c r="DG471" s="58">
        <v>4.9000000000000039</v>
      </c>
      <c r="DH471" s="58">
        <v>53.910000000000004</v>
      </c>
      <c r="DI471" s="45" t="s">
        <v>35</v>
      </c>
      <c r="DJ471" s="59" t="str">
        <f t="shared" si="232"/>
        <v>No single majority group</v>
      </c>
      <c r="DK471" s="65">
        <v>23319.91</v>
      </c>
      <c r="DL471" s="58">
        <v>52.15</v>
      </c>
      <c r="DM471" s="58">
        <v>22.509999999999998</v>
      </c>
      <c r="DN471" s="58">
        <v>10.050000000000001</v>
      </c>
      <c r="DO471" s="58">
        <v>41.290000000000006</v>
      </c>
      <c r="DP471" s="66">
        <v>51.3</v>
      </c>
      <c r="DQ471" s="67">
        <v>48739.85</v>
      </c>
      <c r="DR471" s="53">
        <v>23.9</v>
      </c>
      <c r="DS471" s="58">
        <v>63.8</v>
      </c>
      <c r="DT471" s="53">
        <v>51.6</v>
      </c>
      <c r="DU471" s="55">
        <v>3.04</v>
      </c>
      <c r="DV471" s="102">
        <v>29.8</v>
      </c>
      <c r="DW471" s="53">
        <v>68.2</v>
      </c>
      <c r="DX471" s="53">
        <v>68.822699999999998</v>
      </c>
      <c r="DY471" s="53">
        <v>47.498899999999999</v>
      </c>
      <c r="DZ471" s="63"/>
    </row>
    <row r="472" spans="1:130" s="5" customFormat="1" ht="14.25" hidden="1" customHeight="1">
      <c r="A472" s="45">
        <v>1462</v>
      </c>
      <c r="B472" s="46" t="s">
        <v>406</v>
      </c>
      <c r="C472" s="47">
        <v>2000</v>
      </c>
      <c r="D472" s="47" t="s">
        <v>100</v>
      </c>
      <c r="E472" s="46" t="s">
        <v>101</v>
      </c>
      <c r="F472" s="46">
        <v>4</v>
      </c>
      <c r="G472" s="48">
        <v>23927</v>
      </c>
      <c r="H472" s="46" t="s">
        <v>332</v>
      </c>
      <c r="I472" s="46">
        <v>1</v>
      </c>
      <c r="J472" s="46">
        <v>3</v>
      </c>
      <c r="K472" s="49" t="s">
        <v>432</v>
      </c>
      <c r="L472" s="49" t="s">
        <v>40</v>
      </c>
      <c r="M472" s="49" t="s">
        <v>35</v>
      </c>
      <c r="N472" s="49" t="s">
        <v>513</v>
      </c>
      <c r="O472" s="49"/>
      <c r="P472" s="49" t="s">
        <v>34</v>
      </c>
      <c r="Q472" s="49" t="s">
        <v>35</v>
      </c>
      <c r="R472" s="49">
        <v>1</v>
      </c>
      <c r="S472" s="50">
        <f t="shared" si="223"/>
        <v>33.333333333333329</v>
      </c>
      <c r="T472" s="49">
        <v>2</v>
      </c>
      <c r="U472" s="50">
        <f t="shared" si="224"/>
        <v>66.666666666666657</v>
      </c>
      <c r="V472" s="49" t="s">
        <v>891</v>
      </c>
      <c r="W472" s="49">
        <v>1</v>
      </c>
      <c r="X472" s="50">
        <f t="shared" si="225"/>
        <v>33.333333333333329</v>
      </c>
      <c r="Y472" s="51" t="str">
        <f t="shared" si="226"/>
        <v>Yes</v>
      </c>
      <c r="Z472" s="45" t="s">
        <v>29</v>
      </c>
      <c r="AA472" s="49" t="s">
        <v>35</v>
      </c>
      <c r="AB472" s="45" t="s">
        <v>35</v>
      </c>
      <c r="AC472" s="46" t="s">
        <v>26</v>
      </c>
      <c r="AD472" s="46" t="s">
        <v>27</v>
      </c>
      <c r="AE472" s="46" t="s">
        <v>89</v>
      </c>
      <c r="AF472" s="46" t="s">
        <v>29</v>
      </c>
      <c r="AG472" s="103"/>
      <c r="AH472" s="64"/>
      <c r="AI472" s="52">
        <v>59250</v>
      </c>
      <c r="AJ472" s="102">
        <v>64.400000000000006</v>
      </c>
      <c r="AK472" s="104">
        <v>128.80000000000001</v>
      </c>
      <c r="AL472" s="102">
        <v>84.2</v>
      </c>
      <c r="AM472" s="102"/>
      <c r="AN472" s="53">
        <f t="shared" si="227"/>
        <v>168.4</v>
      </c>
      <c r="AO472" s="53">
        <v>19.5</v>
      </c>
      <c r="AP472" s="102"/>
      <c r="AQ472" s="102"/>
      <c r="AR472" s="50"/>
      <c r="AS472" s="50"/>
      <c r="AT472" s="102"/>
      <c r="AU472" s="102"/>
      <c r="AV472" s="102"/>
      <c r="AW472" s="102"/>
      <c r="AX472" s="50"/>
      <c r="AY472" s="50"/>
      <c r="AZ472" s="102"/>
      <c r="BA472" s="102"/>
      <c r="BB472" s="102"/>
      <c r="BC472" s="102"/>
      <c r="BD472" s="50"/>
      <c r="BE472" s="50"/>
      <c r="BF472" s="50"/>
      <c r="BG472" s="50"/>
      <c r="BH472" s="102"/>
      <c r="BI472" s="102"/>
      <c r="BJ472" s="102"/>
      <c r="BK472" s="102"/>
      <c r="BL472" s="102"/>
      <c r="BM472" s="102"/>
      <c r="BN472" s="102"/>
      <c r="BO472" s="50"/>
      <c r="BP472" s="50"/>
      <c r="BQ472" s="50"/>
      <c r="BR472" s="102"/>
      <c r="BS472" s="54" t="s">
        <v>29</v>
      </c>
      <c r="BT472" s="45" t="str">
        <f t="shared" si="237"/>
        <v>No</v>
      </c>
      <c r="BU472" s="45" t="str">
        <f t="shared" si="238"/>
        <v>No</v>
      </c>
      <c r="BV472" s="45" t="str">
        <f t="shared" si="239"/>
        <v>No</v>
      </c>
      <c r="BW472" s="55">
        <v>59.413921780850686</v>
      </c>
      <c r="BX472" s="55"/>
      <c r="BY472" s="55">
        <v>59.158921780850683</v>
      </c>
      <c r="BZ472" s="55"/>
      <c r="CA472" s="45">
        <v>2000</v>
      </c>
      <c r="CB472" s="55">
        <f t="shared" si="230"/>
        <v>96.255381366257822</v>
      </c>
      <c r="CC472" s="46" t="s">
        <v>491</v>
      </c>
      <c r="CD472" s="46" t="s">
        <v>494</v>
      </c>
      <c r="CE472" s="46" t="s">
        <v>783</v>
      </c>
      <c r="CF472" s="46">
        <v>2</v>
      </c>
      <c r="CG472" s="46" t="str">
        <f t="shared" si="231"/>
        <v>No</v>
      </c>
      <c r="CH472" s="46" t="s">
        <v>35</v>
      </c>
      <c r="CI472" s="56">
        <v>0</v>
      </c>
      <c r="CJ472" s="46">
        <v>10</v>
      </c>
      <c r="CK472" s="46" t="s">
        <v>23</v>
      </c>
      <c r="CL472" s="49" t="s">
        <v>29</v>
      </c>
      <c r="CM472" s="50">
        <v>0</v>
      </c>
      <c r="CN472" s="50"/>
      <c r="CO472" s="50"/>
      <c r="CP472" s="46" t="s">
        <v>35</v>
      </c>
      <c r="CQ472" s="46" t="s">
        <v>24</v>
      </c>
      <c r="CR472" s="46">
        <v>7</v>
      </c>
      <c r="CS472" s="46" t="s">
        <v>854</v>
      </c>
      <c r="CT472" s="46" t="s">
        <v>53</v>
      </c>
      <c r="CU472" s="46" t="s">
        <v>29</v>
      </c>
      <c r="CV472" s="46" t="s">
        <v>23</v>
      </c>
      <c r="CW472" s="46" t="s">
        <v>23</v>
      </c>
      <c r="CX472" s="45"/>
      <c r="CY472" s="45" t="s">
        <v>916</v>
      </c>
      <c r="CZ472" s="49">
        <v>0</v>
      </c>
      <c r="DA472" s="49">
        <v>0</v>
      </c>
      <c r="DB472" s="64">
        <v>61555</v>
      </c>
      <c r="DC472" s="58">
        <v>46.089999999999996</v>
      </c>
      <c r="DD472" s="58">
        <v>12.030000000000001</v>
      </c>
      <c r="DE472" s="58">
        <v>23.5</v>
      </c>
      <c r="DF472" s="58">
        <v>13.48</v>
      </c>
      <c r="DG472" s="58">
        <v>4.9000000000000039</v>
      </c>
      <c r="DH472" s="58">
        <v>53.910000000000004</v>
      </c>
      <c r="DI472" s="45" t="s">
        <v>35</v>
      </c>
      <c r="DJ472" s="59" t="str">
        <f t="shared" si="232"/>
        <v>No single majority group</v>
      </c>
      <c r="DK472" s="65">
        <v>18032.5</v>
      </c>
      <c r="DL472" s="58">
        <v>63.01</v>
      </c>
      <c r="DM472" s="58">
        <v>1.78</v>
      </c>
      <c r="DN472" s="58">
        <v>8.34</v>
      </c>
      <c r="DO472" s="58">
        <v>80.17</v>
      </c>
      <c r="DP472" s="66">
        <v>51.3</v>
      </c>
      <c r="DQ472" s="67">
        <v>48739.85</v>
      </c>
      <c r="DR472" s="53">
        <v>23.9</v>
      </c>
      <c r="DS472" s="58">
        <v>63.8</v>
      </c>
      <c r="DT472" s="53">
        <v>51.6</v>
      </c>
      <c r="DU472" s="55">
        <v>3.04</v>
      </c>
      <c r="DV472" s="102">
        <v>29.8</v>
      </c>
      <c r="DW472" s="53">
        <v>68.2</v>
      </c>
      <c r="DX472" s="53">
        <v>68.822699999999998</v>
      </c>
      <c r="DY472" s="53">
        <v>47.498899999999999</v>
      </c>
      <c r="DZ472" s="63"/>
    </row>
    <row r="473" spans="1:130" s="5" customFormat="1" ht="14.25" hidden="1" customHeight="1">
      <c r="A473" s="45">
        <v>1459</v>
      </c>
      <c r="B473" s="46" t="s">
        <v>406</v>
      </c>
      <c r="C473" s="47">
        <v>2000</v>
      </c>
      <c r="D473" s="47" t="s">
        <v>38</v>
      </c>
      <c r="E473" s="46" t="s">
        <v>22</v>
      </c>
      <c r="F473" s="46">
        <v>4</v>
      </c>
      <c r="G473" s="48">
        <v>103000</v>
      </c>
      <c r="H473" s="46" t="s">
        <v>249</v>
      </c>
      <c r="I473" s="46">
        <v>1</v>
      </c>
      <c r="J473" s="46">
        <v>1</v>
      </c>
      <c r="K473" s="49" t="s">
        <v>429</v>
      </c>
      <c r="L473" s="49" t="s">
        <v>30</v>
      </c>
      <c r="M473" s="49" t="s">
        <v>29</v>
      </c>
      <c r="N473" s="49" t="s">
        <v>513</v>
      </c>
      <c r="O473" s="49"/>
      <c r="P473" s="49" t="s">
        <v>31</v>
      </c>
      <c r="Q473" s="49" t="s">
        <v>29</v>
      </c>
      <c r="R473" s="49">
        <v>0</v>
      </c>
      <c r="S473" s="50">
        <f t="shared" si="223"/>
        <v>0</v>
      </c>
      <c r="T473" s="49">
        <v>0</v>
      </c>
      <c r="U473" s="50">
        <f t="shared" si="224"/>
        <v>0</v>
      </c>
      <c r="V473" s="45"/>
      <c r="W473" s="49">
        <v>0</v>
      </c>
      <c r="X473" s="50">
        <f t="shared" si="225"/>
        <v>0</v>
      </c>
      <c r="Y473" s="51" t="str">
        <f t="shared" si="226"/>
        <v>No</v>
      </c>
      <c r="Z473" s="45" t="s">
        <v>29</v>
      </c>
      <c r="AA473" s="49" t="s">
        <v>29</v>
      </c>
      <c r="AB473" s="49" t="s">
        <v>29</v>
      </c>
      <c r="AC473" s="46" t="s">
        <v>151</v>
      </c>
      <c r="AD473" s="46" t="s">
        <v>168</v>
      </c>
      <c r="AE473" s="46" t="s">
        <v>89</v>
      </c>
      <c r="AF473" s="46" t="s">
        <v>29</v>
      </c>
      <c r="AG473" s="103"/>
      <c r="AH473" s="52">
        <v>37487</v>
      </c>
      <c r="AI473" s="52">
        <v>37487</v>
      </c>
      <c r="AJ473" s="102">
        <v>100</v>
      </c>
      <c r="AK473" s="104">
        <v>200</v>
      </c>
      <c r="AL473" s="102">
        <v>100</v>
      </c>
      <c r="AM473" s="102"/>
      <c r="AN473" s="53">
        <f t="shared" si="227"/>
        <v>200</v>
      </c>
      <c r="AO473" s="53" t="s">
        <v>23</v>
      </c>
      <c r="AP473" s="102"/>
      <c r="AQ473" s="102"/>
      <c r="AR473" s="102"/>
      <c r="AS473" s="102"/>
      <c r="AT473" s="102"/>
      <c r="AU473" s="102"/>
      <c r="AV473" s="102"/>
      <c r="AW473" s="102"/>
      <c r="AX473" s="102"/>
      <c r="AY473" s="102"/>
      <c r="AZ473" s="102"/>
      <c r="BA473" s="102"/>
      <c r="BB473" s="102"/>
      <c r="BC473" s="102"/>
      <c r="BD473" s="102"/>
      <c r="BE473" s="102"/>
      <c r="BF473" s="102"/>
      <c r="BG473" s="102"/>
      <c r="BH473" s="102"/>
      <c r="BI473" s="102"/>
      <c r="BJ473" s="102"/>
      <c r="BK473" s="102"/>
      <c r="BL473" s="102"/>
      <c r="BM473" s="102"/>
      <c r="BN473" s="102"/>
      <c r="BO473" s="50"/>
      <c r="BP473" s="50"/>
      <c r="BQ473" s="50"/>
      <c r="BR473" s="102"/>
      <c r="BS473" s="54" t="s">
        <v>23</v>
      </c>
      <c r="BT473" s="45" t="str">
        <f t="shared" si="237"/>
        <v>No</v>
      </c>
      <c r="BU473" s="45" t="str">
        <f t="shared" si="238"/>
        <v>No</v>
      </c>
      <c r="BV473" s="45" t="str">
        <f t="shared" si="239"/>
        <v>No</v>
      </c>
      <c r="BW473" s="55">
        <v>59.413921780850686</v>
      </c>
      <c r="BX473" s="55">
        <v>59.4139217808507</v>
      </c>
      <c r="BY473" s="55">
        <v>59.158921780850683</v>
      </c>
      <c r="BZ473" s="55">
        <f>BX473-(0.0051*100/2)</f>
        <v>59.158921780850697</v>
      </c>
      <c r="CA473" s="45">
        <v>2000</v>
      </c>
      <c r="CB473" s="55">
        <f t="shared" si="230"/>
        <v>28.109628074385125</v>
      </c>
      <c r="CC473" s="46" t="s">
        <v>281</v>
      </c>
      <c r="CD473" s="46" t="s">
        <v>151</v>
      </c>
      <c r="CE473" s="46" t="s">
        <v>783</v>
      </c>
      <c r="CF473" s="46">
        <v>2</v>
      </c>
      <c r="CG473" s="46" t="str">
        <f t="shared" si="231"/>
        <v>Yes</v>
      </c>
      <c r="CH473" s="46" t="s">
        <v>35</v>
      </c>
      <c r="CI473" s="56">
        <v>0</v>
      </c>
      <c r="CJ473" s="46">
        <v>10</v>
      </c>
      <c r="CK473" s="46" t="s">
        <v>23</v>
      </c>
      <c r="CL473" s="49" t="s">
        <v>29</v>
      </c>
      <c r="CM473" s="50">
        <v>0</v>
      </c>
      <c r="CN473" s="50"/>
      <c r="CO473" s="50"/>
      <c r="CP473" s="46" t="s">
        <v>23</v>
      </c>
      <c r="CQ473" s="46" t="s">
        <v>23</v>
      </c>
      <c r="CR473" s="46">
        <v>7</v>
      </c>
      <c r="CS473" s="46" t="s">
        <v>854</v>
      </c>
      <c r="CT473" s="46" t="s">
        <v>53</v>
      </c>
      <c r="CU473" s="46" t="s">
        <v>29</v>
      </c>
      <c r="CV473" s="46" t="s">
        <v>23</v>
      </c>
      <c r="CW473" s="46" t="s">
        <v>23</v>
      </c>
      <c r="CX473" s="45"/>
      <c r="CY473" s="45" t="s">
        <v>916</v>
      </c>
      <c r="CZ473" s="49">
        <v>0</v>
      </c>
      <c r="DA473" s="49">
        <v>0</v>
      </c>
      <c r="DB473" s="64">
        <v>133360</v>
      </c>
      <c r="DC473" s="58">
        <v>46.089999999999996</v>
      </c>
      <c r="DD473" s="58">
        <v>12.030000000000001</v>
      </c>
      <c r="DE473" s="58">
        <v>23.5</v>
      </c>
      <c r="DF473" s="58">
        <v>13.48</v>
      </c>
      <c r="DG473" s="58">
        <v>4.9000000000000039</v>
      </c>
      <c r="DH473" s="58">
        <v>53.910000000000004</v>
      </c>
      <c r="DI473" s="45" t="s">
        <v>35</v>
      </c>
      <c r="DJ473" s="59" t="str">
        <f t="shared" si="232"/>
        <v>No single majority group</v>
      </c>
      <c r="DK473" s="65">
        <v>133360</v>
      </c>
      <c r="DL473" s="58">
        <v>46.089999999999996</v>
      </c>
      <c r="DM473" s="58">
        <v>12.030000000000001</v>
      </c>
      <c r="DN473" s="58">
        <v>23.5</v>
      </c>
      <c r="DO473" s="58">
        <v>53.910000000000004</v>
      </c>
      <c r="DP473" s="66">
        <v>51.3</v>
      </c>
      <c r="DQ473" s="67">
        <v>48739.85</v>
      </c>
      <c r="DR473" s="53">
        <v>23.9</v>
      </c>
      <c r="DS473" s="58">
        <v>63.8</v>
      </c>
      <c r="DT473" s="53">
        <v>51.6</v>
      </c>
      <c r="DU473" s="55">
        <v>3.04</v>
      </c>
      <c r="DV473" s="102">
        <v>29.8</v>
      </c>
      <c r="DW473" s="53">
        <v>68.2</v>
      </c>
      <c r="DX473" s="53">
        <v>68.822699999999998</v>
      </c>
      <c r="DY473" s="53">
        <v>47.498899999999999</v>
      </c>
      <c r="DZ473" s="63"/>
    </row>
    <row r="474" spans="1:130" s="33" customFormat="1" ht="15.75" hidden="1" customHeight="1">
      <c r="A474" s="45">
        <v>1456</v>
      </c>
      <c r="B474" s="46" t="s">
        <v>406</v>
      </c>
      <c r="C474" s="47">
        <v>2002</v>
      </c>
      <c r="D474" s="47" t="s">
        <v>76</v>
      </c>
      <c r="E474" s="46" t="s">
        <v>77</v>
      </c>
      <c r="F474" s="46">
        <v>4</v>
      </c>
      <c r="G474" s="48">
        <v>23927</v>
      </c>
      <c r="H474" s="46" t="s">
        <v>332</v>
      </c>
      <c r="I474" s="46">
        <v>1</v>
      </c>
      <c r="J474" s="46">
        <v>3</v>
      </c>
      <c r="K474" s="49" t="s">
        <v>422</v>
      </c>
      <c r="L474" s="49" t="s">
        <v>30</v>
      </c>
      <c r="M474" s="49" t="s">
        <v>29</v>
      </c>
      <c r="N474" s="49" t="s">
        <v>512</v>
      </c>
      <c r="O474" s="49"/>
      <c r="P474" s="49" t="s">
        <v>31</v>
      </c>
      <c r="Q474" s="49" t="s">
        <v>29</v>
      </c>
      <c r="R474" s="49">
        <v>0</v>
      </c>
      <c r="S474" s="102">
        <f t="shared" ref="S474:S497" si="241">(R474/J474)*100</f>
        <v>0</v>
      </c>
      <c r="T474" s="49">
        <v>0</v>
      </c>
      <c r="U474" s="102">
        <f t="shared" ref="U474:U497" si="242">(T474/J474)*100</f>
        <v>0</v>
      </c>
      <c r="V474" s="45"/>
      <c r="W474" s="49">
        <v>0</v>
      </c>
      <c r="X474" s="102">
        <f t="shared" ref="X474:X497" si="243">(W474/J474)*100</f>
        <v>0</v>
      </c>
      <c r="Y474" s="51" t="str">
        <f t="shared" ref="Y474:Y497" si="244">IF(L474="M","No", IF(P474="n/a","No",IF(P474="white","No","Yes")))</f>
        <v>No</v>
      </c>
      <c r="Z474" s="45" t="s">
        <v>35</v>
      </c>
      <c r="AA474" s="45" t="s">
        <v>23</v>
      </c>
      <c r="AB474" s="45" t="s">
        <v>23</v>
      </c>
      <c r="AC474" s="46" t="s">
        <v>26</v>
      </c>
      <c r="AD474" s="46" t="s">
        <v>27</v>
      </c>
      <c r="AE474" s="46" t="s">
        <v>73</v>
      </c>
      <c r="AF474" s="46" t="s">
        <v>29</v>
      </c>
      <c r="AG474" s="103"/>
      <c r="AH474" s="70">
        <f>SUM(1160+1333+3581+21)</f>
        <v>6095</v>
      </c>
      <c r="AI474" s="52">
        <v>41568</v>
      </c>
      <c r="AJ474" s="102">
        <v>58.8</v>
      </c>
      <c r="AK474" s="104">
        <v>117.6</v>
      </c>
      <c r="AL474" s="102">
        <v>60.2</v>
      </c>
      <c r="AM474" s="102"/>
      <c r="AN474" s="53">
        <f t="shared" ref="AN474:AN497" si="245">AL474/(1/(I474+1))</f>
        <v>120.4</v>
      </c>
      <c r="AO474" s="53">
        <v>21.9</v>
      </c>
      <c r="AP474" s="102"/>
      <c r="AQ474" s="102"/>
      <c r="AR474" s="102"/>
      <c r="AS474" s="102"/>
      <c r="AT474" s="102"/>
      <c r="AU474" s="102"/>
      <c r="AV474" s="102"/>
      <c r="AW474" s="102"/>
      <c r="AX474" s="102"/>
      <c r="AY474" s="102"/>
      <c r="AZ474" s="102"/>
      <c r="BA474" s="102"/>
      <c r="BB474" s="102"/>
      <c r="BC474" s="102"/>
      <c r="BD474" s="102"/>
      <c r="BE474" s="102"/>
      <c r="BF474" s="102"/>
      <c r="BG474" s="102"/>
      <c r="BH474" s="102"/>
      <c r="BI474" s="102"/>
      <c r="BJ474" s="102"/>
      <c r="BK474" s="102"/>
      <c r="BL474" s="102"/>
      <c r="BM474" s="102"/>
      <c r="BN474" s="102"/>
      <c r="BO474" s="102"/>
      <c r="BP474" s="102"/>
      <c r="BQ474" s="102"/>
      <c r="BR474" s="102"/>
      <c r="BS474" s="54" t="s">
        <v>29</v>
      </c>
      <c r="BT474" s="45" t="str">
        <f t="shared" si="237"/>
        <v>No</v>
      </c>
      <c r="BU474" s="45" t="str">
        <f t="shared" si="238"/>
        <v>No</v>
      </c>
      <c r="BV474" s="45" t="str">
        <f t="shared" si="239"/>
        <v>No</v>
      </c>
      <c r="BW474" s="105">
        <v>59.413921780850686</v>
      </c>
      <c r="BX474" s="105"/>
      <c r="BY474" s="105">
        <v>59.158921780850683</v>
      </c>
      <c r="BZ474" s="105"/>
      <c r="CA474" s="45">
        <v>2000</v>
      </c>
      <c r="CB474" s="105">
        <f t="shared" ref="CB474:CB497" si="246">((AI474/I474)/DB474)*100</f>
        <v>31.169766046790642</v>
      </c>
      <c r="CC474" s="46" t="s">
        <v>491</v>
      </c>
      <c r="CD474" s="46" t="s">
        <v>494</v>
      </c>
      <c r="CE474" s="46" t="s">
        <v>783</v>
      </c>
      <c r="CF474" s="46">
        <v>2</v>
      </c>
      <c r="CG474" s="46" t="str">
        <f t="shared" ref="CG474:CG497" si="247">IF(CD474="Primary (decisive)", "Yes", "No")</f>
        <v>No</v>
      </c>
      <c r="CH474" s="46" t="s">
        <v>35</v>
      </c>
      <c r="CI474" s="56">
        <v>0</v>
      </c>
      <c r="CJ474" s="46">
        <v>10</v>
      </c>
      <c r="CK474" s="46" t="s">
        <v>23</v>
      </c>
      <c r="CL474" s="49" t="s">
        <v>29</v>
      </c>
      <c r="CM474" s="102">
        <v>0</v>
      </c>
      <c r="CN474" s="102"/>
      <c r="CO474" s="102"/>
      <c r="CP474" s="46" t="s">
        <v>35</v>
      </c>
      <c r="CQ474" s="46" t="s">
        <v>24</v>
      </c>
      <c r="CR474" s="46">
        <v>7</v>
      </c>
      <c r="CS474" s="46" t="s">
        <v>854</v>
      </c>
      <c r="CT474" s="46" t="s">
        <v>53</v>
      </c>
      <c r="CU474" s="46" t="s">
        <v>29</v>
      </c>
      <c r="CV474" s="46" t="s">
        <v>23</v>
      </c>
      <c r="CW474" s="46" t="s">
        <v>23</v>
      </c>
      <c r="CX474" s="45" t="s">
        <v>924</v>
      </c>
      <c r="CY474" s="45" t="s">
        <v>916</v>
      </c>
      <c r="CZ474" s="49">
        <v>0</v>
      </c>
      <c r="DA474" s="49">
        <v>0</v>
      </c>
      <c r="DB474" s="64">
        <v>133360</v>
      </c>
      <c r="DC474" s="58">
        <v>46.089999999999996</v>
      </c>
      <c r="DD474" s="58">
        <v>12.030000000000001</v>
      </c>
      <c r="DE474" s="58">
        <v>23.5</v>
      </c>
      <c r="DF474" s="58">
        <v>13.48</v>
      </c>
      <c r="DG474" s="58">
        <v>4.9000000000000039</v>
      </c>
      <c r="DH474" s="58">
        <v>53.910000000000004</v>
      </c>
      <c r="DI474" s="45" t="s">
        <v>35</v>
      </c>
      <c r="DJ474" s="59" t="str">
        <f t="shared" ref="DJ474:DJ497" si="248">IF(DH474&lt;50,"N/A",IF(DD474&gt;50,"African American",IF(DE474&gt;50,"Latino",IF(DF474&gt;50,"Asian","No single majority group"))))</f>
        <v>No single majority group</v>
      </c>
      <c r="DK474" s="65">
        <v>18408.75</v>
      </c>
      <c r="DL474" s="58">
        <v>51.580000000000005</v>
      </c>
      <c r="DM474" s="58">
        <v>3.61</v>
      </c>
      <c r="DN474" s="58">
        <v>9.1399999999999988</v>
      </c>
      <c r="DO474" s="58">
        <v>44.16</v>
      </c>
      <c r="DP474" s="66">
        <v>51.3</v>
      </c>
      <c r="DQ474" s="67">
        <v>48739.85</v>
      </c>
      <c r="DR474" s="53">
        <v>23.9</v>
      </c>
      <c r="DS474" s="58">
        <v>63.8</v>
      </c>
      <c r="DT474" s="53">
        <v>51.6</v>
      </c>
      <c r="DU474" s="105">
        <v>3.04</v>
      </c>
      <c r="DV474" s="102">
        <v>29.8</v>
      </c>
      <c r="DW474" s="53">
        <v>68.2</v>
      </c>
      <c r="DX474" s="53">
        <v>68.822699999999998</v>
      </c>
      <c r="DY474" s="53">
        <v>47.498899999999999</v>
      </c>
      <c r="DZ474" s="63"/>
    </row>
    <row r="475" spans="1:130" ht="15.75" hidden="1" customHeight="1">
      <c r="A475" s="45">
        <v>1457</v>
      </c>
      <c r="B475" s="46" t="s">
        <v>406</v>
      </c>
      <c r="C475" s="47">
        <v>2002</v>
      </c>
      <c r="D475" s="47" t="s">
        <v>94</v>
      </c>
      <c r="E475" s="46" t="s">
        <v>95</v>
      </c>
      <c r="F475" s="46">
        <v>4</v>
      </c>
      <c r="G475" s="48">
        <v>23927</v>
      </c>
      <c r="H475" s="46" t="s">
        <v>332</v>
      </c>
      <c r="I475" s="46">
        <v>1</v>
      </c>
      <c r="J475" s="46">
        <v>3</v>
      </c>
      <c r="K475" s="49" t="s">
        <v>423</v>
      </c>
      <c r="L475" s="49" t="s">
        <v>40</v>
      </c>
      <c r="M475" s="49" t="s">
        <v>35</v>
      </c>
      <c r="N475" s="49" t="s">
        <v>513</v>
      </c>
      <c r="O475" s="49"/>
      <c r="P475" s="49" t="s">
        <v>201</v>
      </c>
      <c r="Q475" s="49" t="s">
        <v>35</v>
      </c>
      <c r="R475" s="49">
        <v>1</v>
      </c>
      <c r="S475" s="102">
        <f t="shared" si="241"/>
        <v>33.333333333333329</v>
      </c>
      <c r="T475" s="49">
        <v>1</v>
      </c>
      <c r="U475" s="102">
        <f t="shared" si="242"/>
        <v>33.333333333333329</v>
      </c>
      <c r="V475" s="49" t="s">
        <v>858</v>
      </c>
      <c r="W475" s="49">
        <v>1</v>
      </c>
      <c r="X475" s="102">
        <f t="shared" si="243"/>
        <v>33.333333333333329</v>
      </c>
      <c r="Y475" s="51" t="str">
        <f t="shared" si="244"/>
        <v>Yes</v>
      </c>
      <c r="Z475" s="45" t="s">
        <v>29</v>
      </c>
      <c r="AA475" s="49" t="s">
        <v>35</v>
      </c>
      <c r="AB475" s="45" t="s">
        <v>35</v>
      </c>
      <c r="AC475" s="46" t="s">
        <v>26</v>
      </c>
      <c r="AD475" s="46" t="s">
        <v>27</v>
      </c>
      <c r="AE475" s="46" t="s">
        <v>73</v>
      </c>
      <c r="AF475" s="46" t="s">
        <v>29</v>
      </c>
      <c r="AG475" s="103"/>
      <c r="AH475" s="70">
        <f>SUM(1034+3979+1228+17)</f>
        <v>6258</v>
      </c>
      <c r="AI475" s="52">
        <v>40859</v>
      </c>
      <c r="AJ475" s="102">
        <v>63.6</v>
      </c>
      <c r="AK475" s="104">
        <v>127.2</v>
      </c>
      <c r="AL475" s="102">
        <v>65.599999999999994</v>
      </c>
      <c r="AM475" s="102"/>
      <c r="AN475" s="53">
        <f t="shared" si="245"/>
        <v>131.19999999999999</v>
      </c>
      <c r="AO475" s="53">
        <v>19.600000000000001</v>
      </c>
      <c r="AP475" s="102"/>
      <c r="AQ475" s="102"/>
      <c r="AR475" s="102"/>
      <c r="AS475" s="102"/>
      <c r="AT475" s="102"/>
      <c r="AU475" s="102"/>
      <c r="AV475" s="102"/>
      <c r="AW475" s="102"/>
      <c r="AX475" s="102"/>
      <c r="AY475" s="102"/>
      <c r="AZ475" s="102"/>
      <c r="BA475" s="102"/>
      <c r="BB475" s="102"/>
      <c r="BC475" s="102"/>
      <c r="BD475" s="102"/>
      <c r="BE475" s="102"/>
      <c r="BF475" s="102"/>
      <c r="BG475" s="102"/>
      <c r="BH475" s="102"/>
      <c r="BI475" s="102"/>
      <c r="BJ475" s="102"/>
      <c r="BK475" s="102"/>
      <c r="BL475" s="102"/>
      <c r="BM475" s="102"/>
      <c r="BN475" s="102"/>
      <c r="BO475" s="102"/>
      <c r="BP475" s="102"/>
      <c r="BQ475" s="102"/>
      <c r="BR475" s="102"/>
      <c r="BS475" s="54" t="s">
        <v>29</v>
      </c>
      <c r="BT475" s="45" t="str">
        <f t="shared" si="237"/>
        <v>No</v>
      </c>
      <c r="BU475" s="45" t="str">
        <f t="shared" si="238"/>
        <v>No</v>
      </c>
      <c r="BV475" s="45" t="str">
        <f t="shared" si="239"/>
        <v>No</v>
      </c>
      <c r="BW475" s="105">
        <v>59.413921780850686</v>
      </c>
      <c r="BX475" s="105"/>
      <c r="BY475" s="105">
        <v>59.158921780850683</v>
      </c>
      <c r="BZ475" s="105"/>
      <c r="CA475" s="45">
        <v>2000</v>
      </c>
      <c r="CB475" s="105">
        <f t="shared" si="246"/>
        <v>30.638122375524894</v>
      </c>
      <c r="CC475" s="46" t="s">
        <v>491</v>
      </c>
      <c r="CD475" s="46" t="s">
        <v>494</v>
      </c>
      <c r="CE475" s="46" t="s">
        <v>783</v>
      </c>
      <c r="CF475" s="46">
        <v>2</v>
      </c>
      <c r="CG475" s="46" t="str">
        <f t="shared" si="247"/>
        <v>No</v>
      </c>
      <c r="CH475" s="46" t="s">
        <v>35</v>
      </c>
      <c r="CI475" s="56">
        <v>0</v>
      </c>
      <c r="CJ475" s="46">
        <v>10</v>
      </c>
      <c r="CK475" s="46" t="s">
        <v>23</v>
      </c>
      <c r="CL475" s="49" t="s">
        <v>29</v>
      </c>
      <c r="CM475" s="102">
        <v>0</v>
      </c>
      <c r="CN475" s="102"/>
      <c r="CO475" s="102"/>
      <c r="CP475" s="46" t="s">
        <v>35</v>
      </c>
      <c r="CQ475" s="46" t="s">
        <v>24</v>
      </c>
      <c r="CR475" s="46">
        <v>7</v>
      </c>
      <c r="CS475" s="46" t="s">
        <v>854</v>
      </c>
      <c r="CT475" s="46" t="s">
        <v>53</v>
      </c>
      <c r="CU475" s="46" t="s">
        <v>29</v>
      </c>
      <c r="CV475" s="46" t="s">
        <v>23</v>
      </c>
      <c r="CW475" s="46" t="s">
        <v>23</v>
      </c>
      <c r="CX475" s="45" t="s">
        <v>924</v>
      </c>
      <c r="CY475" s="45" t="s">
        <v>916</v>
      </c>
      <c r="CZ475" s="49">
        <v>0</v>
      </c>
      <c r="DA475" s="49">
        <v>0</v>
      </c>
      <c r="DB475" s="64">
        <v>133360</v>
      </c>
      <c r="DC475" s="58">
        <v>46.089999999999996</v>
      </c>
      <c r="DD475" s="58">
        <v>12.030000000000001</v>
      </c>
      <c r="DE475" s="58">
        <v>23.5</v>
      </c>
      <c r="DF475" s="58">
        <v>13.48</v>
      </c>
      <c r="DG475" s="58">
        <v>4.9000000000000039</v>
      </c>
      <c r="DH475" s="58">
        <v>53.910000000000004</v>
      </c>
      <c r="DI475" s="45" t="s">
        <v>35</v>
      </c>
      <c r="DJ475" s="59" t="str">
        <f t="shared" si="248"/>
        <v>No single majority group</v>
      </c>
      <c r="DK475" s="65">
        <v>24253.23</v>
      </c>
      <c r="DL475" s="58">
        <v>76.34</v>
      </c>
      <c r="DM475" s="58">
        <v>2</v>
      </c>
      <c r="DN475" s="58">
        <v>4.6100000000000003</v>
      </c>
      <c r="DO475" s="58">
        <v>39.54</v>
      </c>
      <c r="DP475" s="66">
        <v>51.3</v>
      </c>
      <c r="DQ475" s="67">
        <v>48739.85</v>
      </c>
      <c r="DR475" s="53">
        <v>23.9</v>
      </c>
      <c r="DS475" s="58">
        <v>63.8</v>
      </c>
      <c r="DT475" s="53">
        <v>51.6</v>
      </c>
      <c r="DU475" s="105">
        <v>3.04</v>
      </c>
      <c r="DV475" s="102">
        <v>29.8</v>
      </c>
      <c r="DW475" s="53">
        <v>68.2</v>
      </c>
      <c r="DX475" s="53">
        <v>68.822699999999998</v>
      </c>
      <c r="DY475" s="53">
        <v>47.498899999999999</v>
      </c>
      <c r="DZ475" s="63"/>
    </row>
    <row r="476" spans="1:130" ht="15.75" hidden="1" customHeight="1">
      <c r="A476" s="45">
        <v>1458</v>
      </c>
      <c r="B476" s="46" t="s">
        <v>406</v>
      </c>
      <c r="C476" s="47">
        <v>2002</v>
      </c>
      <c r="D476" s="47" t="s">
        <v>97</v>
      </c>
      <c r="E476" s="46" t="s">
        <v>98</v>
      </c>
      <c r="F476" s="46">
        <v>4</v>
      </c>
      <c r="G476" s="48">
        <v>23927</v>
      </c>
      <c r="H476" s="46" t="s">
        <v>332</v>
      </c>
      <c r="I476" s="46">
        <v>1</v>
      </c>
      <c r="J476" s="46">
        <v>3</v>
      </c>
      <c r="K476" s="49" t="s">
        <v>428</v>
      </c>
      <c r="L476" s="49" t="s">
        <v>30</v>
      </c>
      <c r="M476" s="49" t="s">
        <v>29</v>
      </c>
      <c r="N476" s="49" t="s">
        <v>513</v>
      </c>
      <c r="O476" s="49"/>
      <c r="P476" s="49" t="s">
        <v>31</v>
      </c>
      <c r="Q476" s="49" t="s">
        <v>29</v>
      </c>
      <c r="R476" s="49">
        <v>1</v>
      </c>
      <c r="S476" s="102">
        <f t="shared" si="241"/>
        <v>33.333333333333329</v>
      </c>
      <c r="T476" s="49">
        <v>1</v>
      </c>
      <c r="U476" s="102">
        <f t="shared" si="242"/>
        <v>33.333333333333329</v>
      </c>
      <c r="V476" s="49" t="s">
        <v>858</v>
      </c>
      <c r="W476" s="49">
        <v>1</v>
      </c>
      <c r="X476" s="102">
        <f t="shared" si="243"/>
        <v>33.333333333333329</v>
      </c>
      <c r="Y476" s="51" t="str">
        <f t="shared" si="244"/>
        <v>No</v>
      </c>
      <c r="Z476" s="45" t="s">
        <v>29</v>
      </c>
      <c r="AA476" s="49" t="s">
        <v>29</v>
      </c>
      <c r="AB476" s="49" t="s">
        <v>29</v>
      </c>
      <c r="AC476" s="46" t="s">
        <v>26</v>
      </c>
      <c r="AD476" s="46" t="s">
        <v>27</v>
      </c>
      <c r="AE476" s="46" t="s">
        <v>73</v>
      </c>
      <c r="AF476" s="46" t="s">
        <v>29</v>
      </c>
      <c r="AG476" s="103"/>
      <c r="AH476" s="70">
        <f>SUM(917+462+1987+24)</f>
        <v>3390</v>
      </c>
      <c r="AI476" s="52">
        <v>41013</v>
      </c>
      <c r="AJ476" s="102">
        <v>58.6</v>
      </c>
      <c r="AK476" s="104">
        <v>117.2</v>
      </c>
      <c r="AL476" s="102">
        <v>65.8</v>
      </c>
      <c r="AM476" s="102"/>
      <c r="AN476" s="53">
        <f t="shared" si="245"/>
        <v>131.6</v>
      </c>
      <c r="AO476" s="53">
        <v>27.1</v>
      </c>
      <c r="AP476" s="102"/>
      <c r="AQ476" s="102"/>
      <c r="AR476" s="102"/>
      <c r="AS476" s="102"/>
      <c r="AT476" s="102"/>
      <c r="AU476" s="102"/>
      <c r="AV476" s="102"/>
      <c r="AW476" s="102"/>
      <c r="AX476" s="102"/>
      <c r="AY476" s="102"/>
      <c r="AZ476" s="102"/>
      <c r="BA476" s="102"/>
      <c r="BB476" s="102"/>
      <c r="BC476" s="102"/>
      <c r="BD476" s="102"/>
      <c r="BE476" s="102"/>
      <c r="BF476" s="102"/>
      <c r="BG476" s="102"/>
      <c r="BH476" s="102"/>
      <c r="BI476" s="102"/>
      <c r="BJ476" s="102"/>
      <c r="BK476" s="102"/>
      <c r="BL476" s="102"/>
      <c r="BM476" s="102"/>
      <c r="BN476" s="102"/>
      <c r="BO476" s="102"/>
      <c r="BP476" s="102"/>
      <c r="BQ476" s="102"/>
      <c r="BR476" s="102"/>
      <c r="BS476" s="54" t="s">
        <v>29</v>
      </c>
      <c r="BT476" s="45" t="str">
        <f t="shared" si="237"/>
        <v>No</v>
      </c>
      <c r="BU476" s="45" t="str">
        <f t="shared" si="238"/>
        <v>No</v>
      </c>
      <c r="BV476" s="45" t="str">
        <f t="shared" si="239"/>
        <v>No</v>
      </c>
      <c r="BW476" s="105">
        <v>59.413921780850686</v>
      </c>
      <c r="BX476" s="105"/>
      <c r="BY476" s="105">
        <v>59.158921780850683</v>
      </c>
      <c r="BZ476" s="105"/>
      <c r="CA476" s="45">
        <v>2000</v>
      </c>
      <c r="CB476" s="105">
        <f t="shared" si="246"/>
        <v>30.753599280143973</v>
      </c>
      <c r="CC476" s="46" t="s">
        <v>491</v>
      </c>
      <c r="CD476" s="46" t="s">
        <v>494</v>
      </c>
      <c r="CE476" s="46" t="s">
        <v>783</v>
      </c>
      <c r="CF476" s="46">
        <v>2</v>
      </c>
      <c r="CG476" s="46" t="str">
        <f t="shared" si="247"/>
        <v>No</v>
      </c>
      <c r="CH476" s="46" t="s">
        <v>35</v>
      </c>
      <c r="CI476" s="56">
        <v>0</v>
      </c>
      <c r="CJ476" s="46">
        <v>10</v>
      </c>
      <c r="CK476" s="46" t="s">
        <v>23</v>
      </c>
      <c r="CL476" s="49" t="s">
        <v>29</v>
      </c>
      <c r="CM476" s="102">
        <v>0</v>
      </c>
      <c r="CN476" s="102"/>
      <c r="CO476" s="102"/>
      <c r="CP476" s="46" t="s">
        <v>35</v>
      </c>
      <c r="CQ476" s="46" t="s">
        <v>24</v>
      </c>
      <c r="CR476" s="46">
        <v>7</v>
      </c>
      <c r="CS476" s="46" t="s">
        <v>854</v>
      </c>
      <c r="CT476" s="46" t="s">
        <v>53</v>
      </c>
      <c r="CU476" s="46" t="s">
        <v>29</v>
      </c>
      <c r="CV476" s="46" t="s">
        <v>23</v>
      </c>
      <c r="CW476" s="46" t="s">
        <v>23</v>
      </c>
      <c r="CX476" s="45" t="s">
        <v>924</v>
      </c>
      <c r="CY476" s="45" t="s">
        <v>916</v>
      </c>
      <c r="CZ476" s="49">
        <v>0</v>
      </c>
      <c r="DA476" s="49">
        <v>0</v>
      </c>
      <c r="DB476" s="64">
        <v>133360</v>
      </c>
      <c r="DC476" s="58">
        <v>46.089999999999996</v>
      </c>
      <c r="DD476" s="58">
        <v>12.030000000000001</v>
      </c>
      <c r="DE476" s="58">
        <v>23.5</v>
      </c>
      <c r="DF476" s="58">
        <v>13.48</v>
      </c>
      <c r="DG476" s="58">
        <v>4.9000000000000039</v>
      </c>
      <c r="DH476" s="58">
        <v>53.910000000000004</v>
      </c>
      <c r="DI476" s="45" t="s">
        <v>35</v>
      </c>
      <c r="DJ476" s="59" t="str">
        <f t="shared" si="248"/>
        <v>No single majority group</v>
      </c>
      <c r="DK476" s="65">
        <v>18785.34</v>
      </c>
      <c r="DL476" s="58">
        <v>78.83</v>
      </c>
      <c r="DM476" s="58">
        <v>1.6099999999999999</v>
      </c>
      <c r="DN476" s="58">
        <v>4.29</v>
      </c>
      <c r="DO476" s="58">
        <v>66.56</v>
      </c>
      <c r="DP476" s="66">
        <v>51.3</v>
      </c>
      <c r="DQ476" s="67">
        <v>48739.85</v>
      </c>
      <c r="DR476" s="53">
        <v>23.9</v>
      </c>
      <c r="DS476" s="58">
        <v>63.8</v>
      </c>
      <c r="DT476" s="53">
        <v>51.6</v>
      </c>
      <c r="DU476" s="105">
        <v>3.04</v>
      </c>
      <c r="DV476" s="102">
        <v>29.8</v>
      </c>
      <c r="DW476" s="53">
        <v>68.2</v>
      </c>
      <c r="DX476" s="53">
        <v>68.822699999999998</v>
      </c>
      <c r="DY476" s="53">
        <v>47.498899999999999</v>
      </c>
      <c r="DZ476" s="63"/>
    </row>
    <row r="477" spans="1:130" ht="15.75" hidden="1" customHeight="1">
      <c r="A477" s="45">
        <v>1453</v>
      </c>
      <c r="B477" s="46" t="s">
        <v>406</v>
      </c>
      <c r="C477" s="47">
        <v>2004</v>
      </c>
      <c r="D477" s="47" t="s">
        <v>91</v>
      </c>
      <c r="E477" s="46" t="s">
        <v>92</v>
      </c>
      <c r="F477" s="46">
        <v>4</v>
      </c>
      <c r="G477" s="48">
        <v>23927</v>
      </c>
      <c r="H477" s="46" t="s">
        <v>332</v>
      </c>
      <c r="I477" s="46">
        <v>1</v>
      </c>
      <c r="J477" s="46">
        <v>3</v>
      </c>
      <c r="K477" s="49" t="s">
        <v>425</v>
      </c>
      <c r="L477" s="49" t="s">
        <v>30</v>
      </c>
      <c r="M477" s="49" t="s">
        <v>29</v>
      </c>
      <c r="N477" s="49" t="s">
        <v>512</v>
      </c>
      <c r="O477" s="49"/>
      <c r="P477" s="49" t="s">
        <v>31</v>
      </c>
      <c r="Q477" s="49" t="s">
        <v>29</v>
      </c>
      <c r="R477" s="49">
        <v>0</v>
      </c>
      <c r="S477" s="102">
        <f t="shared" si="241"/>
        <v>0</v>
      </c>
      <c r="T477" s="49">
        <v>0</v>
      </c>
      <c r="U477" s="102">
        <f t="shared" si="242"/>
        <v>0</v>
      </c>
      <c r="V477" s="45"/>
      <c r="W477" s="49">
        <v>0</v>
      </c>
      <c r="X477" s="102">
        <f t="shared" si="243"/>
        <v>0</v>
      </c>
      <c r="Y477" s="51" t="str">
        <f t="shared" si="244"/>
        <v>No</v>
      </c>
      <c r="Z477" s="49" t="s">
        <v>35</v>
      </c>
      <c r="AA477" s="49" t="s">
        <v>23</v>
      </c>
      <c r="AB477" s="49" t="s">
        <v>23</v>
      </c>
      <c r="AC477" s="46" t="s">
        <v>26</v>
      </c>
      <c r="AD477" s="46" t="s">
        <v>27</v>
      </c>
      <c r="AE477" s="46" t="s">
        <v>89</v>
      </c>
      <c r="AF477" s="46" t="s">
        <v>29</v>
      </c>
      <c r="AG477" s="103"/>
      <c r="AH477" s="52">
        <v>5493</v>
      </c>
      <c r="AI477" s="52">
        <v>62106</v>
      </c>
      <c r="AJ477" s="102">
        <v>45.44</v>
      </c>
      <c r="AK477" s="104">
        <v>90.88</v>
      </c>
      <c r="AL477" s="102">
        <v>60.63</v>
      </c>
      <c r="AM477" s="102"/>
      <c r="AN477" s="53">
        <f t="shared" si="245"/>
        <v>121.26</v>
      </c>
      <c r="AO477" s="53">
        <v>35.299999999999997</v>
      </c>
      <c r="AP477" s="102"/>
      <c r="AQ477" s="102"/>
      <c r="AR477" s="102"/>
      <c r="AS477" s="102"/>
      <c r="AT477" s="102"/>
      <c r="AU477" s="102"/>
      <c r="AV477" s="102"/>
      <c r="AW477" s="102"/>
      <c r="AX477" s="102"/>
      <c r="AY477" s="102"/>
      <c r="AZ477" s="102"/>
      <c r="BA477" s="102"/>
      <c r="BB477" s="102"/>
      <c r="BC477" s="102"/>
      <c r="BD477" s="102"/>
      <c r="BE477" s="102"/>
      <c r="BF477" s="102"/>
      <c r="BG477" s="102"/>
      <c r="BH477" s="102"/>
      <c r="BI477" s="102"/>
      <c r="BJ477" s="102"/>
      <c r="BK477" s="102"/>
      <c r="BL477" s="102"/>
      <c r="BM477" s="102"/>
      <c r="BN477" s="50"/>
      <c r="BO477" s="102"/>
      <c r="BP477" s="102"/>
      <c r="BQ477" s="102"/>
      <c r="BR477" s="102"/>
      <c r="BS477" s="54" t="s">
        <v>29</v>
      </c>
      <c r="BT477" s="45" t="str">
        <f t="shared" si="237"/>
        <v>Yes</v>
      </c>
      <c r="BU477" s="45" t="str">
        <f t="shared" si="238"/>
        <v>Yes</v>
      </c>
      <c r="BV477" s="45" t="str">
        <f t="shared" si="239"/>
        <v>No</v>
      </c>
      <c r="BW477" s="105">
        <v>56.570483624591837</v>
      </c>
      <c r="BX477" s="105"/>
      <c r="BY477" s="105">
        <v>57.800483624591834</v>
      </c>
      <c r="BZ477" s="105"/>
      <c r="CA477" s="45">
        <v>2004</v>
      </c>
      <c r="CB477" s="105">
        <f t="shared" si="246"/>
        <v>46.570185962807436</v>
      </c>
      <c r="CC477" s="46" t="s">
        <v>491</v>
      </c>
      <c r="CD477" s="46" t="s">
        <v>494</v>
      </c>
      <c r="CE477" s="46" t="s">
        <v>783</v>
      </c>
      <c r="CF477" s="46">
        <v>2</v>
      </c>
      <c r="CG477" s="46" t="str">
        <f t="shared" si="247"/>
        <v>No</v>
      </c>
      <c r="CH477" s="46" t="s">
        <v>35</v>
      </c>
      <c r="CI477" s="56">
        <v>0</v>
      </c>
      <c r="CJ477" s="46">
        <v>10</v>
      </c>
      <c r="CK477" s="46" t="s">
        <v>23</v>
      </c>
      <c r="CL477" s="49" t="s">
        <v>29</v>
      </c>
      <c r="CM477" s="102">
        <v>0</v>
      </c>
      <c r="CN477" s="102"/>
      <c r="CO477" s="102"/>
      <c r="CP477" s="46" t="s">
        <v>35</v>
      </c>
      <c r="CQ477" s="46" t="s">
        <v>24</v>
      </c>
      <c r="CR477" s="46">
        <v>7</v>
      </c>
      <c r="CS477" s="46" t="s">
        <v>854</v>
      </c>
      <c r="CT477" s="46" t="s">
        <v>53</v>
      </c>
      <c r="CU477" s="46" t="s">
        <v>29</v>
      </c>
      <c r="CV477" s="46" t="s">
        <v>23</v>
      </c>
      <c r="CW477" s="46" t="s">
        <v>23</v>
      </c>
      <c r="CX477" s="45" t="s">
        <v>924</v>
      </c>
      <c r="CY477" s="45" t="s">
        <v>917</v>
      </c>
      <c r="CZ477" s="49">
        <v>0</v>
      </c>
      <c r="DA477" s="49">
        <v>0</v>
      </c>
      <c r="DB477" s="64">
        <v>133360</v>
      </c>
      <c r="DC477" s="58">
        <v>46.089999999999996</v>
      </c>
      <c r="DD477" s="58">
        <v>12.030000000000001</v>
      </c>
      <c r="DE477" s="58">
        <v>23.5</v>
      </c>
      <c r="DF477" s="58">
        <v>13.48</v>
      </c>
      <c r="DG477" s="58">
        <v>4.9000000000000039</v>
      </c>
      <c r="DH477" s="58">
        <v>53.910000000000004</v>
      </c>
      <c r="DI477" s="45" t="s">
        <v>35</v>
      </c>
      <c r="DJ477" s="59" t="str">
        <f t="shared" si="248"/>
        <v>No single majority group</v>
      </c>
      <c r="DK477" s="65">
        <v>20338.71</v>
      </c>
      <c r="DL477" s="58">
        <v>51.12</v>
      </c>
      <c r="DM477" s="58">
        <v>24.310000000000002</v>
      </c>
      <c r="DN477" s="58">
        <v>11</v>
      </c>
      <c r="DO477" s="58">
        <v>50.940000000000005</v>
      </c>
      <c r="DP477" s="66">
        <v>51.3</v>
      </c>
      <c r="DQ477" s="67">
        <v>48739.85</v>
      </c>
      <c r="DR477" s="53">
        <v>23.9</v>
      </c>
      <c r="DS477" s="58">
        <v>63.8</v>
      </c>
      <c r="DT477" s="53">
        <v>51.6</v>
      </c>
      <c r="DU477" s="105">
        <v>3.04</v>
      </c>
      <c r="DV477" s="102">
        <v>29.8</v>
      </c>
      <c r="DW477" s="53">
        <v>68.2</v>
      </c>
      <c r="DX477" s="53">
        <v>68.822699999999998</v>
      </c>
      <c r="DY477" s="53">
        <v>47.498899999999999</v>
      </c>
      <c r="DZ477" s="63"/>
    </row>
    <row r="478" spans="1:130" ht="15.75" hidden="1" customHeight="1">
      <c r="A478" s="45">
        <v>1454</v>
      </c>
      <c r="B478" s="46" t="s">
        <v>406</v>
      </c>
      <c r="C478" s="47">
        <v>2004</v>
      </c>
      <c r="D478" s="47" t="s">
        <v>79</v>
      </c>
      <c r="E478" s="71" t="s">
        <v>80</v>
      </c>
      <c r="F478" s="46">
        <v>4</v>
      </c>
      <c r="G478" s="48">
        <v>23927</v>
      </c>
      <c r="H478" s="46" t="s">
        <v>332</v>
      </c>
      <c r="I478" s="46">
        <v>1</v>
      </c>
      <c r="J478" s="46">
        <v>3</v>
      </c>
      <c r="K478" s="49" t="s">
        <v>426</v>
      </c>
      <c r="L478" s="49" t="s">
        <v>30</v>
      </c>
      <c r="M478" s="49" t="s">
        <v>29</v>
      </c>
      <c r="N478" s="49" t="s">
        <v>512</v>
      </c>
      <c r="O478" s="49"/>
      <c r="P478" s="49" t="s">
        <v>31</v>
      </c>
      <c r="Q478" s="49" t="s">
        <v>29</v>
      </c>
      <c r="R478" s="49">
        <v>2</v>
      </c>
      <c r="S478" s="102">
        <f t="shared" si="241"/>
        <v>66.666666666666657</v>
      </c>
      <c r="T478" s="49">
        <v>0</v>
      </c>
      <c r="U478" s="102">
        <f t="shared" si="242"/>
        <v>0</v>
      </c>
      <c r="V478" s="45"/>
      <c r="W478" s="49">
        <v>0</v>
      </c>
      <c r="X478" s="102">
        <f t="shared" si="243"/>
        <v>0</v>
      </c>
      <c r="Y478" s="51" t="str">
        <f t="shared" si="244"/>
        <v>No</v>
      </c>
      <c r="Z478" s="49" t="s">
        <v>35</v>
      </c>
      <c r="AA478" s="49" t="s">
        <v>23</v>
      </c>
      <c r="AB478" s="49" t="s">
        <v>23</v>
      </c>
      <c r="AC478" s="46" t="s">
        <v>26</v>
      </c>
      <c r="AD478" s="46" t="s">
        <v>27</v>
      </c>
      <c r="AE478" s="46" t="s">
        <v>89</v>
      </c>
      <c r="AF478" s="46" t="s">
        <v>29</v>
      </c>
      <c r="AG478" s="103"/>
      <c r="AH478" s="52">
        <v>6493</v>
      </c>
      <c r="AI478" s="52">
        <v>65115</v>
      </c>
      <c r="AJ478" s="102">
        <v>51.7</v>
      </c>
      <c r="AK478" s="104">
        <v>103.4</v>
      </c>
      <c r="AL478" s="102">
        <v>51.7</v>
      </c>
      <c r="AM478" s="102"/>
      <c r="AN478" s="53">
        <f t="shared" si="245"/>
        <v>103.4</v>
      </c>
      <c r="AO478" s="53">
        <v>34.729999999999997</v>
      </c>
      <c r="AP478" s="102"/>
      <c r="AQ478" s="102"/>
      <c r="AR478" s="102"/>
      <c r="AS478" s="102"/>
      <c r="AT478" s="102"/>
      <c r="AU478" s="102"/>
      <c r="AV478" s="102"/>
      <c r="AW478" s="102"/>
      <c r="AX478" s="102"/>
      <c r="AY478" s="102"/>
      <c r="AZ478" s="102"/>
      <c r="BA478" s="102"/>
      <c r="BB478" s="102"/>
      <c r="BC478" s="102"/>
      <c r="BD478" s="102"/>
      <c r="BE478" s="102"/>
      <c r="BF478" s="102"/>
      <c r="BG478" s="102"/>
      <c r="BH478" s="102"/>
      <c r="BI478" s="102"/>
      <c r="BJ478" s="102"/>
      <c r="BK478" s="102"/>
      <c r="BL478" s="102"/>
      <c r="BM478" s="102"/>
      <c r="BN478" s="50"/>
      <c r="BO478" s="102"/>
      <c r="BP478" s="102"/>
      <c r="BQ478" s="102"/>
      <c r="BR478" s="102"/>
      <c r="BS478" s="54" t="s">
        <v>29</v>
      </c>
      <c r="BT478" s="45" t="str">
        <f t="shared" si="237"/>
        <v>Yes</v>
      </c>
      <c r="BU478" s="45" t="str">
        <f t="shared" si="238"/>
        <v>Yes</v>
      </c>
      <c r="BV478" s="45" t="str">
        <f t="shared" si="239"/>
        <v>No</v>
      </c>
      <c r="BW478" s="105">
        <v>56.570483624591837</v>
      </c>
      <c r="BX478" s="105"/>
      <c r="BY478" s="105">
        <v>57.800483624591834</v>
      </c>
      <c r="BZ478" s="105"/>
      <c r="CA478" s="45">
        <v>2004</v>
      </c>
      <c r="CB478" s="105">
        <f t="shared" si="246"/>
        <v>48.826484703059386</v>
      </c>
      <c r="CC478" s="46" t="s">
        <v>491</v>
      </c>
      <c r="CD478" s="46" t="s">
        <v>494</v>
      </c>
      <c r="CE478" s="46" t="s">
        <v>783</v>
      </c>
      <c r="CF478" s="46">
        <v>2</v>
      </c>
      <c r="CG478" s="46" t="str">
        <f t="shared" si="247"/>
        <v>No</v>
      </c>
      <c r="CH478" s="46" t="s">
        <v>35</v>
      </c>
      <c r="CI478" s="56">
        <v>0</v>
      </c>
      <c r="CJ478" s="46">
        <v>10</v>
      </c>
      <c r="CK478" s="46" t="s">
        <v>23</v>
      </c>
      <c r="CL478" s="49" t="s">
        <v>29</v>
      </c>
      <c r="CM478" s="102">
        <v>0</v>
      </c>
      <c r="CN478" s="102"/>
      <c r="CO478" s="102"/>
      <c r="CP478" s="46" t="s">
        <v>35</v>
      </c>
      <c r="CQ478" s="46" t="s">
        <v>24</v>
      </c>
      <c r="CR478" s="46">
        <v>7</v>
      </c>
      <c r="CS478" s="46" t="s">
        <v>854</v>
      </c>
      <c r="CT478" s="46" t="s">
        <v>53</v>
      </c>
      <c r="CU478" s="46" t="s">
        <v>29</v>
      </c>
      <c r="CV478" s="46" t="s">
        <v>23</v>
      </c>
      <c r="CW478" s="46" t="s">
        <v>23</v>
      </c>
      <c r="CX478" s="45" t="s">
        <v>924</v>
      </c>
      <c r="CY478" s="45" t="s">
        <v>917</v>
      </c>
      <c r="CZ478" s="49">
        <v>0</v>
      </c>
      <c r="DA478" s="49">
        <v>0</v>
      </c>
      <c r="DB478" s="64">
        <v>133360</v>
      </c>
      <c r="DC478" s="58">
        <v>46.089999999999996</v>
      </c>
      <c r="DD478" s="58">
        <v>12.030000000000001</v>
      </c>
      <c r="DE478" s="58">
        <v>23.5</v>
      </c>
      <c r="DF478" s="58">
        <v>13.48</v>
      </c>
      <c r="DG478" s="58">
        <v>4.9000000000000039</v>
      </c>
      <c r="DH478" s="58">
        <v>53.910000000000004</v>
      </c>
      <c r="DI478" s="45" t="s">
        <v>35</v>
      </c>
      <c r="DJ478" s="59" t="str">
        <f t="shared" si="248"/>
        <v>No single majority group</v>
      </c>
      <c r="DK478" s="65">
        <v>23319.91</v>
      </c>
      <c r="DL478" s="58">
        <v>59.440000000000005</v>
      </c>
      <c r="DM478" s="58">
        <v>6.58</v>
      </c>
      <c r="DN478" s="58">
        <v>6.03</v>
      </c>
      <c r="DO478" s="58">
        <v>41.290000000000006</v>
      </c>
      <c r="DP478" s="66">
        <v>51.3</v>
      </c>
      <c r="DQ478" s="67">
        <v>48739.85</v>
      </c>
      <c r="DR478" s="53">
        <v>23.9</v>
      </c>
      <c r="DS478" s="58">
        <v>63.8</v>
      </c>
      <c r="DT478" s="53">
        <v>51.6</v>
      </c>
      <c r="DU478" s="105">
        <v>3.04</v>
      </c>
      <c r="DV478" s="102">
        <v>29.8</v>
      </c>
      <c r="DW478" s="53">
        <v>68.2</v>
      </c>
      <c r="DX478" s="53">
        <v>68.822699999999998</v>
      </c>
      <c r="DY478" s="53">
        <v>47.498899999999999</v>
      </c>
      <c r="DZ478" s="63"/>
    </row>
    <row r="479" spans="1:130" ht="15.75" hidden="1" customHeight="1">
      <c r="A479" s="45">
        <v>1455</v>
      </c>
      <c r="B479" s="46" t="s">
        <v>406</v>
      </c>
      <c r="C479" s="47">
        <v>2004</v>
      </c>
      <c r="D479" s="47" t="s">
        <v>100</v>
      </c>
      <c r="E479" s="71" t="s">
        <v>101</v>
      </c>
      <c r="F479" s="46">
        <v>4</v>
      </c>
      <c r="G479" s="48">
        <v>23927</v>
      </c>
      <c r="H479" s="46" t="s">
        <v>332</v>
      </c>
      <c r="I479" s="46">
        <v>1</v>
      </c>
      <c r="J479" s="46">
        <v>7</v>
      </c>
      <c r="K479" s="49" t="s">
        <v>427</v>
      </c>
      <c r="L479" s="49" t="s">
        <v>40</v>
      </c>
      <c r="M479" s="49" t="s">
        <v>35</v>
      </c>
      <c r="N479" s="49" t="s">
        <v>512</v>
      </c>
      <c r="O479" s="49"/>
      <c r="P479" s="49" t="s">
        <v>31</v>
      </c>
      <c r="Q479" s="49" t="s">
        <v>29</v>
      </c>
      <c r="R479" s="49">
        <v>1</v>
      </c>
      <c r="S479" s="102">
        <f t="shared" si="241"/>
        <v>14.285714285714285</v>
      </c>
      <c r="T479" s="49">
        <v>3</v>
      </c>
      <c r="U479" s="102">
        <f t="shared" si="242"/>
        <v>42.857142857142854</v>
      </c>
      <c r="V479" s="49" t="s">
        <v>892</v>
      </c>
      <c r="W479" s="49">
        <v>0</v>
      </c>
      <c r="X479" s="102">
        <f t="shared" si="243"/>
        <v>0</v>
      </c>
      <c r="Y479" s="51" t="str">
        <f t="shared" si="244"/>
        <v>No</v>
      </c>
      <c r="Z479" s="49" t="s">
        <v>35</v>
      </c>
      <c r="AA479" s="49" t="s">
        <v>23</v>
      </c>
      <c r="AB479" s="49" t="s">
        <v>23</v>
      </c>
      <c r="AC479" s="46" t="s">
        <v>26</v>
      </c>
      <c r="AD479" s="46" t="s">
        <v>27</v>
      </c>
      <c r="AE479" s="46" t="s">
        <v>89</v>
      </c>
      <c r="AF479" s="46" t="s">
        <v>29</v>
      </c>
      <c r="AG479" s="103"/>
      <c r="AH479" s="52">
        <v>4573</v>
      </c>
      <c r="AI479" s="52">
        <v>64069</v>
      </c>
      <c r="AJ479" s="102">
        <v>24.64</v>
      </c>
      <c r="AK479" s="104">
        <v>49.28</v>
      </c>
      <c r="AL479" s="102">
        <v>51.17</v>
      </c>
      <c r="AM479" s="102"/>
      <c r="AN479" s="53">
        <f t="shared" si="245"/>
        <v>102.34</v>
      </c>
      <c r="AO479" s="53">
        <v>22.24</v>
      </c>
      <c r="AP479" s="102"/>
      <c r="AQ479" s="102"/>
      <c r="AR479" s="102"/>
      <c r="AS479" s="102"/>
      <c r="AT479" s="102"/>
      <c r="AU479" s="102"/>
      <c r="AV479" s="102"/>
      <c r="AW479" s="102"/>
      <c r="AX479" s="102"/>
      <c r="AY479" s="102"/>
      <c r="AZ479" s="102"/>
      <c r="BA479" s="102"/>
      <c r="BB479" s="102"/>
      <c r="BC479" s="102"/>
      <c r="BD479" s="102"/>
      <c r="BE479" s="102"/>
      <c r="BF479" s="102"/>
      <c r="BG479" s="102"/>
      <c r="BH479" s="102"/>
      <c r="BI479" s="102"/>
      <c r="BJ479" s="102"/>
      <c r="BK479" s="102"/>
      <c r="BL479" s="102"/>
      <c r="BM479" s="102"/>
      <c r="BN479" s="50"/>
      <c r="BO479" s="102"/>
      <c r="BP479" s="102"/>
      <c r="BQ479" s="102"/>
      <c r="BR479" s="102"/>
      <c r="BS479" s="54" t="s">
        <v>29</v>
      </c>
      <c r="BT479" s="45" t="str">
        <f t="shared" si="237"/>
        <v>Yes</v>
      </c>
      <c r="BU479" s="45" t="str">
        <f t="shared" si="238"/>
        <v>Yes</v>
      </c>
      <c r="BV479" s="45" t="str">
        <f t="shared" si="239"/>
        <v>Yes</v>
      </c>
      <c r="BW479" s="105">
        <v>56.570483624591837</v>
      </c>
      <c r="BX479" s="105"/>
      <c r="BY479" s="105">
        <v>57.800483624591834</v>
      </c>
      <c r="BZ479" s="105"/>
      <c r="CA479" s="45">
        <v>2004</v>
      </c>
      <c r="CB479" s="105">
        <f t="shared" si="246"/>
        <v>48.042141571685661</v>
      </c>
      <c r="CC479" s="46" t="s">
        <v>491</v>
      </c>
      <c r="CD479" s="46" t="s">
        <v>494</v>
      </c>
      <c r="CE479" s="46" t="s">
        <v>783</v>
      </c>
      <c r="CF479" s="46">
        <v>2</v>
      </c>
      <c r="CG479" s="46" t="str">
        <f t="shared" si="247"/>
        <v>No</v>
      </c>
      <c r="CH479" s="46" t="s">
        <v>35</v>
      </c>
      <c r="CI479" s="56">
        <v>0</v>
      </c>
      <c r="CJ479" s="46">
        <v>10</v>
      </c>
      <c r="CK479" s="46" t="s">
        <v>23</v>
      </c>
      <c r="CL479" s="49" t="s">
        <v>29</v>
      </c>
      <c r="CM479" s="102">
        <v>0</v>
      </c>
      <c r="CN479" s="102"/>
      <c r="CO479" s="102"/>
      <c r="CP479" s="46" t="s">
        <v>35</v>
      </c>
      <c r="CQ479" s="46" t="s">
        <v>24</v>
      </c>
      <c r="CR479" s="46">
        <v>7</v>
      </c>
      <c r="CS479" s="46" t="s">
        <v>854</v>
      </c>
      <c r="CT479" s="46" t="s">
        <v>53</v>
      </c>
      <c r="CU479" s="46" t="s">
        <v>29</v>
      </c>
      <c r="CV479" s="46" t="s">
        <v>23</v>
      </c>
      <c r="CW479" s="46" t="s">
        <v>23</v>
      </c>
      <c r="CX479" s="45" t="s">
        <v>924</v>
      </c>
      <c r="CY479" s="45" t="s">
        <v>917</v>
      </c>
      <c r="CZ479" s="49">
        <v>0</v>
      </c>
      <c r="DA479" s="49">
        <v>0</v>
      </c>
      <c r="DB479" s="64">
        <v>133360</v>
      </c>
      <c r="DC479" s="58">
        <v>46.089999999999996</v>
      </c>
      <c r="DD479" s="58">
        <v>12.030000000000001</v>
      </c>
      <c r="DE479" s="58">
        <v>23.5</v>
      </c>
      <c r="DF479" s="58">
        <v>13.48</v>
      </c>
      <c r="DG479" s="58">
        <v>4.9000000000000039</v>
      </c>
      <c r="DH479" s="58">
        <v>53.910000000000004</v>
      </c>
      <c r="DI479" s="45" t="s">
        <v>35</v>
      </c>
      <c r="DJ479" s="59" t="str">
        <f t="shared" si="248"/>
        <v>No single majority group</v>
      </c>
      <c r="DK479" s="65">
        <v>18032.5</v>
      </c>
      <c r="DL479" s="58">
        <v>79.47</v>
      </c>
      <c r="DM479" s="58">
        <v>2.62</v>
      </c>
      <c r="DN479" s="58">
        <v>4.21</v>
      </c>
      <c r="DO479" s="58">
        <v>80.17</v>
      </c>
      <c r="DP479" s="66">
        <v>51.3</v>
      </c>
      <c r="DQ479" s="67">
        <v>48739.85</v>
      </c>
      <c r="DR479" s="53">
        <v>23.9</v>
      </c>
      <c r="DS479" s="58">
        <v>63.8</v>
      </c>
      <c r="DT479" s="53">
        <v>51.6</v>
      </c>
      <c r="DU479" s="105">
        <v>3.04</v>
      </c>
      <c r="DV479" s="102">
        <v>29.8</v>
      </c>
      <c r="DW479" s="53">
        <v>68.2</v>
      </c>
      <c r="DX479" s="53">
        <v>68.822699999999998</v>
      </c>
      <c r="DY479" s="53">
        <v>47.498899999999999</v>
      </c>
      <c r="DZ479" s="63"/>
    </row>
    <row r="480" spans="1:130" ht="15.75" hidden="1" customHeight="1">
      <c r="A480" s="45">
        <v>1452</v>
      </c>
      <c r="B480" s="46" t="s">
        <v>406</v>
      </c>
      <c r="C480" s="47">
        <v>2004</v>
      </c>
      <c r="D480" s="47" t="s">
        <v>38</v>
      </c>
      <c r="E480" s="46" t="s">
        <v>22</v>
      </c>
      <c r="F480" s="46">
        <v>4</v>
      </c>
      <c r="G480" s="48">
        <v>103000</v>
      </c>
      <c r="H480" s="46" t="s">
        <v>249</v>
      </c>
      <c r="I480" s="46">
        <v>1</v>
      </c>
      <c r="J480" s="46">
        <v>4</v>
      </c>
      <c r="K480" s="49" t="s">
        <v>424</v>
      </c>
      <c r="L480" s="49" t="s">
        <v>30</v>
      </c>
      <c r="M480" s="49" t="s">
        <v>29</v>
      </c>
      <c r="N480" s="49" t="s">
        <v>512</v>
      </c>
      <c r="O480" s="49"/>
      <c r="P480" s="49" t="s">
        <v>857</v>
      </c>
      <c r="Q480" s="49" t="s">
        <v>35</v>
      </c>
      <c r="R480" s="49">
        <v>1</v>
      </c>
      <c r="S480" s="102">
        <f t="shared" si="241"/>
        <v>25</v>
      </c>
      <c r="T480" s="49">
        <v>2</v>
      </c>
      <c r="U480" s="102">
        <f t="shared" si="242"/>
        <v>50</v>
      </c>
      <c r="V480" s="49" t="s">
        <v>869</v>
      </c>
      <c r="W480" s="49">
        <v>0</v>
      </c>
      <c r="X480" s="102">
        <f t="shared" si="243"/>
        <v>0</v>
      </c>
      <c r="Y480" s="51" t="str">
        <f t="shared" si="244"/>
        <v>No</v>
      </c>
      <c r="Z480" s="49" t="s">
        <v>35</v>
      </c>
      <c r="AA480" s="49" t="s">
        <v>23</v>
      </c>
      <c r="AB480" s="49" t="s">
        <v>23</v>
      </c>
      <c r="AC480" s="46" t="s">
        <v>151</v>
      </c>
      <c r="AD480" s="46" t="s">
        <v>168</v>
      </c>
      <c r="AE480" s="46" t="s">
        <v>89</v>
      </c>
      <c r="AF480" s="46" t="s">
        <v>29</v>
      </c>
      <c r="AG480" s="103"/>
      <c r="AH480" s="52">
        <v>38513</v>
      </c>
      <c r="AI480" s="52">
        <v>38513</v>
      </c>
      <c r="AJ480" s="102">
        <v>52.07</v>
      </c>
      <c r="AK480" s="104">
        <v>104.14</v>
      </c>
      <c r="AL480" s="102">
        <v>52.07</v>
      </c>
      <c r="AM480" s="102"/>
      <c r="AN480" s="53">
        <f t="shared" si="245"/>
        <v>104.14</v>
      </c>
      <c r="AO480" s="53">
        <v>39.04</v>
      </c>
      <c r="AP480" s="102"/>
      <c r="AQ480" s="102"/>
      <c r="AR480" s="102"/>
      <c r="AS480" s="102"/>
      <c r="AT480" s="102"/>
      <c r="AU480" s="102"/>
      <c r="AV480" s="102"/>
      <c r="AW480" s="102"/>
      <c r="AX480" s="102"/>
      <c r="AY480" s="102"/>
      <c r="AZ480" s="102"/>
      <c r="BA480" s="102"/>
      <c r="BB480" s="102"/>
      <c r="BC480" s="102"/>
      <c r="BD480" s="102"/>
      <c r="BE480" s="102"/>
      <c r="BF480" s="102"/>
      <c r="BG480" s="102"/>
      <c r="BH480" s="102"/>
      <c r="BI480" s="102"/>
      <c r="BJ480" s="102"/>
      <c r="BK480" s="102"/>
      <c r="BL480" s="102"/>
      <c r="BM480" s="102"/>
      <c r="BN480" s="50"/>
      <c r="BO480" s="102"/>
      <c r="BP480" s="102"/>
      <c r="BQ480" s="102"/>
      <c r="BR480" s="102"/>
      <c r="BS480" s="54" t="s">
        <v>29</v>
      </c>
      <c r="BT480" s="45" t="str">
        <f t="shared" si="237"/>
        <v>Yes</v>
      </c>
      <c r="BU480" s="45" t="str">
        <f t="shared" si="238"/>
        <v>Yes</v>
      </c>
      <c r="BV480" s="45" t="str">
        <f t="shared" si="239"/>
        <v>No</v>
      </c>
      <c r="BW480" s="105">
        <v>56.570483624591837</v>
      </c>
      <c r="BX480" s="105">
        <v>56.570483624591837</v>
      </c>
      <c r="BY480" s="105">
        <v>57.800483624591834</v>
      </c>
      <c r="BZ480" s="105">
        <f>BX480-(-0.0246*100/2)</f>
        <v>57.800483624591834</v>
      </c>
      <c r="CA480" s="45">
        <v>2004</v>
      </c>
      <c r="CB480" s="105">
        <f t="shared" si="246"/>
        <v>28.878974205158968</v>
      </c>
      <c r="CC480" s="46" t="s">
        <v>953</v>
      </c>
      <c r="CD480" s="46" t="s">
        <v>494</v>
      </c>
      <c r="CE480" s="46" t="s">
        <v>783</v>
      </c>
      <c r="CF480" s="46">
        <v>2</v>
      </c>
      <c r="CG480" s="46" t="str">
        <f t="shared" si="247"/>
        <v>No</v>
      </c>
      <c r="CH480" s="46" t="s">
        <v>35</v>
      </c>
      <c r="CI480" s="56">
        <v>0</v>
      </c>
      <c r="CJ480" s="46">
        <v>10</v>
      </c>
      <c r="CK480" s="46" t="s">
        <v>23</v>
      </c>
      <c r="CL480" s="49" t="s">
        <v>29</v>
      </c>
      <c r="CM480" s="102">
        <v>0</v>
      </c>
      <c r="CN480" s="102"/>
      <c r="CO480" s="102"/>
      <c r="CP480" s="46" t="s">
        <v>23</v>
      </c>
      <c r="CQ480" s="46" t="s">
        <v>23</v>
      </c>
      <c r="CR480" s="46">
        <v>7</v>
      </c>
      <c r="CS480" s="46" t="s">
        <v>854</v>
      </c>
      <c r="CT480" s="46" t="s">
        <v>53</v>
      </c>
      <c r="CU480" s="46" t="s">
        <v>29</v>
      </c>
      <c r="CV480" s="46" t="s">
        <v>23</v>
      </c>
      <c r="CW480" s="46" t="s">
        <v>23</v>
      </c>
      <c r="CX480" s="45" t="s">
        <v>924</v>
      </c>
      <c r="CY480" s="45" t="s">
        <v>917</v>
      </c>
      <c r="CZ480" s="49">
        <v>0</v>
      </c>
      <c r="DA480" s="49">
        <v>0</v>
      </c>
      <c r="DB480" s="64">
        <v>133360</v>
      </c>
      <c r="DC480" s="58">
        <v>46.089999999999996</v>
      </c>
      <c r="DD480" s="58">
        <v>12.030000000000001</v>
      </c>
      <c r="DE480" s="58">
        <v>23.5</v>
      </c>
      <c r="DF480" s="58">
        <v>13.48</v>
      </c>
      <c r="DG480" s="58">
        <v>4.9000000000000039</v>
      </c>
      <c r="DH480" s="58">
        <v>53.910000000000004</v>
      </c>
      <c r="DI480" s="45" t="s">
        <v>35</v>
      </c>
      <c r="DJ480" s="59" t="str">
        <f t="shared" si="248"/>
        <v>No single majority group</v>
      </c>
      <c r="DK480" s="65">
        <v>133360</v>
      </c>
      <c r="DL480" s="58">
        <v>46.089999999999996</v>
      </c>
      <c r="DM480" s="58">
        <v>12.030000000000001</v>
      </c>
      <c r="DN480" s="58">
        <v>23.5</v>
      </c>
      <c r="DO480" s="58">
        <v>53.910000000000004</v>
      </c>
      <c r="DP480" s="66">
        <v>51.3</v>
      </c>
      <c r="DQ480" s="67">
        <v>48739.85</v>
      </c>
      <c r="DR480" s="53">
        <v>23.9</v>
      </c>
      <c r="DS480" s="58">
        <v>63.8</v>
      </c>
      <c r="DT480" s="53">
        <v>51.6</v>
      </c>
      <c r="DU480" s="105">
        <v>3.04</v>
      </c>
      <c r="DV480" s="102">
        <v>29.8</v>
      </c>
      <c r="DW480" s="53">
        <v>68.2</v>
      </c>
      <c r="DX480" s="53">
        <v>68.822699999999998</v>
      </c>
      <c r="DY480" s="53">
        <v>47.498899999999999</v>
      </c>
      <c r="DZ480" s="63"/>
    </row>
    <row r="481" spans="1:130" ht="15.75" hidden="1" customHeight="1">
      <c r="A481" s="45">
        <v>1449</v>
      </c>
      <c r="B481" s="46" t="s">
        <v>406</v>
      </c>
      <c r="C481" s="47">
        <v>2006</v>
      </c>
      <c r="D481" s="47" t="s">
        <v>76</v>
      </c>
      <c r="E481" s="46" t="s">
        <v>77</v>
      </c>
      <c r="F481" s="46">
        <v>4</v>
      </c>
      <c r="G481" s="48">
        <v>23927</v>
      </c>
      <c r="H481" s="46" t="s">
        <v>332</v>
      </c>
      <c r="I481" s="46">
        <v>1</v>
      </c>
      <c r="J481" s="46">
        <v>2</v>
      </c>
      <c r="K481" s="49" t="s">
        <v>422</v>
      </c>
      <c r="L481" s="49" t="s">
        <v>30</v>
      </c>
      <c r="M481" s="49" t="s">
        <v>29</v>
      </c>
      <c r="N481" s="49" t="s">
        <v>513</v>
      </c>
      <c r="O481" s="49"/>
      <c r="P481" s="49" t="s">
        <v>31</v>
      </c>
      <c r="Q481" s="49" t="s">
        <v>29</v>
      </c>
      <c r="R481" s="49">
        <v>0</v>
      </c>
      <c r="S481" s="102">
        <f t="shared" si="241"/>
        <v>0</v>
      </c>
      <c r="T481" s="49">
        <v>0</v>
      </c>
      <c r="U481" s="102">
        <f t="shared" si="242"/>
        <v>0</v>
      </c>
      <c r="V481" s="45"/>
      <c r="W481" s="49">
        <v>0</v>
      </c>
      <c r="X481" s="102">
        <f t="shared" si="243"/>
        <v>0</v>
      </c>
      <c r="Y481" s="51" t="str">
        <f t="shared" si="244"/>
        <v>No</v>
      </c>
      <c r="Z481" s="49" t="s">
        <v>29</v>
      </c>
      <c r="AA481" s="49" t="s">
        <v>29</v>
      </c>
      <c r="AB481" s="49" t="s">
        <v>29</v>
      </c>
      <c r="AC481" s="46" t="s">
        <v>26</v>
      </c>
      <c r="AD481" s="46" t="s">
        <v>27</v>
      </c>
      <c r="AE481" s="46" t="s">
        <v>73</v>
      </c>
      <c r="AF481" s="46" t="s">
        <v>29</v>
      </c>
      <c r="AG481" s="103"/>
      <c r="AH481" s="52">
        <v>6274</v>
      </c>
      <c r="AI481" s="52">
        <v>45693</v>
      </c>
      <c r="AJ481" s="102">
        <v>76.27</v>
      </c>
      <c r="AK481" s="104">
        <v>152.54</v>
      </c>
      <c r="AL481" s="102">
        <v>69.959999999999994</v>
      </c>
      <c r="AM481" s="102"/>
      <c r="AN481" s="53">
        <f t="shared" si="245"/>
        <v>139.91999999999999</v>
      </c>
      <c r="AO481" s="53">
        <v>23.43</v>
      </c>
      <c r="AP481" s="102"/>
      <c r="AQ481" s="102"/>
      <c r="AR481" s="102"/>
      <c r="AS481" s="102"/>
      <c r="AT481" s="102"/>
      <c r="AU481" s="102"/>
      <c r="AV481" s="102"/>
      <c r="AW481" s="102"/>
      <c r="AX481" s="102"/>
      <c r="AY481" s="102"/>
      <c r="AZ481" s="102"/>
      <c r="BA481" s="102"/>
      <c r="BB481" s="102"/>
      <c r="BC481" s="102"/>
      <c r="BD481" s="102"/>
      <c r="BE481" s="102"/>
      <c r="BF481" s="102"/>
      <c r="BG481" s="102"/>
      <c r="BH481" s="102"/>
      <c r="BI481" s="102"/>
      <c r="BJ481" s="102"/>
      <c r="BK481" s="102"/>
      <c r="BL481" s="102"/>
      <c r="BM481" s="102"/>
      <c r="BN481" s="50"/>
      <c r="BO481" s="102"/>
      <c r="BP481" s="102"/>
      <c r="BQ481" s="102"/>
      <c r="BR481" s="102"/>
      <c r="BS481" s="54" t="s">
        <v>29</v>
      </c>
      <c r="BT481" s="45" t="str">
        <f t="shared" si="237"/>
        <v>No</v>
      </c>
      <c r="BU481" s="45" t="str">
        <f t="shared" si="238"/>
        <v>No</v>
      </c>
      <c r="BV481" s="45" t="str">
        <f t="shared" si="239"/>
        <v>No</v>
      </c>
      <c r="BW481" s="105">
        <v>56.570483624591837</v>
      </c>
      <c r="BX481" s="105"/>
      <c r="BY481" s="105">
        <v>57.800483624591834</v>
      </c>
      <c r="BZ481" s="105"/>
      <c r="CA481" s="45">
        <v>2004</v>
      </c>
      <c r="CB481" s="105">
        <f t="shared" si="246"/>
        <v>29.436624255113546</v>
      </c>
      <c r="CC481" s="46" t="s">
        <v>491</v>
      </c>
      <c r="CD481" s="46" t="s">
        <v>494</v>
      </c>
      <c r="CE481" s="46" t="s">
        <v>783</v>
      </c>
      <c r="CF481" s="46">
        <v>2</v>
      </c>
      <c r="CG481" s="46" t="str">
        <f t="shared" si="247"/>
        <v>No</v>
      </c>
      <c r="CH481" s="46" t="s">
        <v>35</v>
      </c>
      <c r="CI481" s="56">
        <v>0</v>
      </c>
      <c r="CJ481" s="46">
        <v>10</v>
      </c>
      <c r="CK481" s="46" t="s">
        <v>23</v>
      </c>
      <c r="CL481" s="49" t="s">
        <v>29</v>
      </c>
      <c r="CM481" s="102">
        <v>0</v>
      </c>
      <c r="CN481" s="102"/>
      <c r="CO481" s="102"/>
      <c r="CP481" s="46" t="s">
        <v>35</v>
      </c>
      <c r="CQ481" s="46" t="s">
        <v>24</v>
      </c>
      <c r="CR481" s="46">
        <v>7</v>
      </c>
      <c r="CS481" s="46" t="s">
        <v>854</v>
      </c>
      <c r="CT481" s="46" t="s">
        <v>53</v>
      </c>
      <c r="CU481" s="46" t="s">
        <v>29</v>
      </c>
      <c r="CV481" s="46" t="s">
        <v>23</v>
      </c>
      <c r="CW481" s="46" t="s">
        <v>23</v>
      </c>
      <c r="CX481" s="45" t="s">
        <v>925</v>
      </c>
      <c r="CY481" s="45"/>
      <c r="CZ481" s="49">
        <v>0</v>
      </c>
      <c r="DA481" s="49">
        <v>0</v>
      </c>
      <c r="DB481" s="64">
        <v>155225</v>
      </c>
      <c r="DC481" s="58">
        <v>37.659999999999997</v>
      </c>
      <c r="DD481" s="58">
        <v>13.600000000000001</v>
      </c>
      <c r="DE481" s="58">
        <v>26.25</v>
      </c>
      <c r="DF481" s="58">
        <v>19.149999999999999</v>
      </c>
      <c r="DG481" s="58">
        <v>3.3400000000000096</v>
      </c>
      <c r="DH481" s="58">
        <v>62.339999999999996</v>
      </c>
      <c r="DI481" s="45" t="s">
        <v>35</v>
      </c>
      <c r="DJ481" s="59" t="str">
        <f t="shared" si="248"/>
        <v>No single majority group</v>
      </c>
      <c r="DK481" s="65">
        <v>25111.88</v>
      </c>
      <c r="DL481" s="58">
        <v>50.19</v>
      </c>
      <c r="DM481" s="58">
        <v>3.04</v>
      </c>
      <c r="DN481" s="58">
        <v>11.89</v>
      </c>
      <c r="DO481" s="58">
        <v>53.81</v>
      </c>
      <c r="DP481" s="66">
        <v>51.65</v>
      </c>
      <c r="DQ481" s="67">
        <v>51026.84</v>
      </c>
      <c r="DR481" s="53">
        <v>19.399999999999999</v>
      </c>
      <c r="DS481" s="58">
        <v>67.400000000000006</v>
      </c>
      <c r="DT481" s="53">
        <v>52.8</v>
      </c>
      <c r="DU481" s="105">
        <v>3.11</v>
      </c>
      <c r="DV481" s="102">
        <v>30.1</v>
      </c>
      <c r="DW481" s="53">
        <v>72.599999999999994</v>
      </c>
      <c r="DX481" s="53">
        <v>85.27</v>
      </c>
      <c r="DY481" s="53">
        <v>60.541600000000003</v>
      </c>
      <c r="DZ481" s="63"/>
    </row>
    <row r="482" spans="1:130" ht="15.75" hidden="1" customHeight="1">
      <c r="A482" s="45">
        <v>1450</v>
      </c>
      <c r="B482" s="46" t="s">
        <v>406</v>
      </c>
      <c r="C482" s="47">
        <v>2006</v>
      </c>
      <c r="D482" s="47" t="s">
        <v>94</v>
      </c>
      <c r="E482" s="46" t="s">
        <v>95</v>
      </c>
      <c r="F482" s="46">
        <v>4</v>
      </c>
      <c r="G482" s="48">
        <v>23927</v>
      </c>
      <c r="H482" s="46" t="s">
        <v>332</v>
      </c>
      <c r="I482" s="46">
        <v>1</v>
      </c>
      <c r="J482" s="46">
        <v>2</v>
      </c>
      <c r="K482" s="49" t="s">
        <v>423</v>
      </c>
      <c r="L482" s="49" t="s">
        <v>40</v>
      </c>
      <c r="M482" s="49" t="s">
        <v>35</v>
      </c>
      <c r="N482" s="49" t="s">
        <v>513</v>
      </c>
      <c r="O482" s="49"/>
      <c r="P482" s="49" t="s">
        <v>201</v>
      </c>
      <c r="Q482" s="49" t="s">
        <v>35</v>
      </c>
      <c r="R482" s="49">
        <v>2</v>
      </c>
      <c r="S482" s="102">
        <f t="shared" si="241"/>
        <v>100</v>
      </c>
      <c r="T482" s="49">
        <v>1</v>
      </c>
      <c r="U482" s="102">
        <f t="shared" si="242"/>
        <v>50</v>
      </c>
      <c r="V482" s="49" t="s">
        <v>858</v>
      </c>
      <c r="W482" s="49">
        <v>1</v>
      </c>
      <c r="X482" s="102">
        <f t="shared" si="243"/>
        <v>50</v>
      </c>
      <c r="Y482" s="51" t="str">
        <f t="shared" si="244"/>
        <v>Yes</v>
      </c>
      <c r="Z482" s="49" t="s">
        <v>29</v>
      </c>
      <c r="AA482" s="49" t="s">
        <v>35</v>
      </c>
      <c r="AB482" s="45" t="s">
        <v>35</v>
      </c>
      <c r="AC482" s="46" t="s">
        <v>26</v>
      </c>
      <c r="AD482" s="46" t="s">
        <v>27</v>
      </c>
      <c r="AE482" s="46" t="s">
        <v>73</v>
      </c>
      <c r="AF482" s="46" t="s">
        <v>29</v>
      </c>
      <c r="AG482" s="120"/>
      <c r="AH482" s="52">
        <v>6329</v>
      </c>
      <c r="AI482" s="52">
        <v>45746</v>
      </c>
      <c r="AJ482" s="102">
        <v>56.52</v>
      </c>
      <c r="AK482" s="104">
        <v>113.04</v>
      </c>
      <c r="AL482" s="102">
        <v>58.84</v>
      </c>
      <c r="AM482" s="102"/>
      <c r="AN482" s="53">
        <f t="shared" si="245"/>
        <v>117.68</v>
      </c>
      <c r="AO482" s="53">
        <v>43.28</v>
      </c>
      <c r="AP482" s="102"/>
      <c r="AQ482" s="102"/>
      <c r="AR482" s="102"/>
      <c r="AS482" s="102"/>
      <c r="AT482" s="102"/>
      <c r="AU482" s="102"/>
      <c r="AV482" s="102"/>
      <c r="AW482" s="102"/>
      <c r="AX482" s="102"/>
      <c r="AY482" s="102"/>
      <c r="AZ482" s="102"/>
      <c r="BA482" s="102"/>
      <c r="BB482" s="102"/>
      <c r="BC482" s="102"/>
      <c r="BD482" s="102"/>
      <c r="BE482" s="102"/>
      <c r="BF482" s="102"/>
      <c r="BG482" s="102"/>
      <c r="BH482" s="102"/>
      <c r="BI482" s="102"/>
      <c r="BJ482" s="102"/>
      <c r="BK482" s="102"/>
      <c r="BL482" s="102"/>
      <c r="BM482" s="102"/>
      <c r="BN482" s="50"/>
      <c r="BO482" s="102"/>
      <c r="BP482" s="102"/>
      <c r="BQ482" s="102"/>
      <c r="BR482" s="102"/>
      <c r="BS482" s="54" t="s">
        <v>29</v>
      </c>
      <c r="BT482" s="45" t="str">
        <f t="shared" si="237"/>
        <v>Yes</v>
      </c>
      <c r="BU482" s="45" t="str">
        <f t="shared" si="238"/>
        <v>Yes</v>
      </c>
      <c r="BV482" s="45" t="str">
        <f t="shared" si="239"/>
        <v>No</v>
      </c>
      <c r="BW482" s="105">
        <v>56.570483624591837</v>
      </c>
      <c r="BX482" s="105"/>
      <c r="BY482" s="105">
        <v>57.800483624591834</v>
      </c>
      <c r="BZ482" s="105"/>
      <c r="CA482" s="45">
        <v>2004</v>
      </c>
      <c r="CB482" s="105">
        <f t="shared" si="246"/>
        <v>29.470768239652116</v>
      </c>
      <c r="CC482" s="46" t="s">
        <v>491</v>
      </c>
      <c r="CD482" s="46" t="s">
        <v>494</v>
      </c>
      <c r="CE482" s="46" t="s">
        <v>783</v>
      </c>
      <c r="CF482" s="46">
        <v>2</v>
      </c>
      <c r="CG482" s="46" t="str">
        <f t="shared" si="247"/>
        <v>No</v>
      </c>
      <c r="CH482" s="46" t="s">
        <v>35</v>
      </c>
      <c r="CI482" s="56">
        <v>0</v>
      </c>
      <c r="CJ482" s="46">
        <v>10</v>
      </c>
      <c r="CK482" s="46" t="s">
        <v>23</v>
      </c>
      <c r="CL482" s="49" t="s">
        <v>29</v>
      </c>
      <c r="CM482" s="102">
        <v>0</v>
      </c>
      <c r="CN482" s="102"/>
      <c r="CO482" s="102"/>
      <c r="CP482" s="46" t="s">
        <v>35</v>
      </c>
      <c r="CQ482" s="46" t="s">
        <v>24</v>
      </c>
      <c r="CR482" s="46">
        <v>7</v>
      </c>
      <c r="CS482" s="46" t="s">
        <v>854</v>
      </c>
      <c r="CT482" s="46" t="s">
        <v>53</v>
      </c>
      <c r="CU482" s="46" t="s">
        <v>29</v>
      </c>
      <c r="CV482" s="46" t="s">
        <v>23</v>
      </c>
      <c r="CW482" s="46" t="s">
        <v>23</v>
      </c>
      <c r="CX482" s="45" t="s">
        <v>925</v>
      </c>
      <c r="CY482" s="45"/>
      <c r="CZ482" s="49">
        <v>0</v>
      </c>
      <c r="DA482" s="49">
        <v>0</v>
      </c>
      <c r="DB482" s="64">
        <v>155225</v>
      </c>
      <c r="DC482" s="58">
        <v>37.659999999999997</v>
      </c>
      <c r="DD482" s="58">
        <v>13.600000000000001</v>
      </c>
      <c r="DE482" s="58">
        <v>26.25</v>
      </c>
      <c r="DF482" s="58">
        <v>19.149999999999999</v>
      </c>
      <c r="DG482" s="58">
        <v>3.3400000000000096</v>
      </c>
      <c r="DH482" s="58">
        <v>62.339999999999996</v>
      </c>
      <c r="DI482" s="45" t="s">
        <v>35</v>
      </c>
      <c r="DJ482" s="59" t="str">
        <f t="shared" si="248"/>
        <v>No single majority group</v>
      </c>
      <c r="DK482" s="65">
        <v>27907.41</v>
      </c>
      <c r="DL482" s="58">
        <v>50.61</v>
      </c>
      <c r="DM482" s="58">
        <v>11.68</v>
      </c>
      <c r="DN482" s="58">
        <v>18.39</v>
      </c>
      <c r="DO482" s="58">
        <v>49.39</v>
      </c>
      <c r="DP482" s="66">
        <v>51.65</v>
      </c>
      <c r="DQ482" s="67">
        <v>51026.84</v>
      </c>
      <c r="DR482" s="53">
        <v>19.399999999999999</v>
      </c>
      <c r="DS482" s="58">
        <v>67.400000000000006</v>
      </c>
      <c r="DT482" s="53">
        <v>52.8</v>
      </c>
      <c r="DU482" s="105">
        <v>3.11</v>
      </c>
      <c r="DV482" s="102">
        <v>30.1</v>
      </c>
      <c r="DW482" s="53">
        <v>72.599999999999994</v>
      </c>
      <c r="DX482" s="53">
        <v>85.27</v>
      </c>
      <c r="DY482" s="53">
        <v>60.541600000000003</v>
      </c>
      <c r="DZ482" s="63"/>
    </row>
    <row r="483" spans="1:130" ht="15.75" hidden="1" customHeight="1">
      <c r="A483" s="45">
        <v>1451</v>
      </c>
      <c r="B483" s="46" t="s">
        <v>406</v>
      </c>
      <c r="C483" s="47">
        <v>2006</v>
      </c>
      <c r="D483" s="47" t="s">
        <v>97</v>
      </c>
      <c r="E483" s="46" t="s">
        <v>98</v>
      </c>
      <c r="F483" s="46">
        <v>4</v>
      </c>
      <c r="G483" s="48">
        <v>23927</v>
      </c>
      <c r="H483" s="46" t="s">
        <v>332</v>
      </c>
      <c r="I483" s="46">
        <v>1</v>
      </c>
      <c r="J483" s="46">
        <v>4</v>
      </c>
      <c r="K483" s="49" t="s">
        <v>418</v>
      </c>
      <c r="L483" s="49" t="s">
        <v>40</v>
      </c>
      <c r="M483" s="49" t="s">
        <v>35</v>
      </c>
      <c r="N483" s="49" t="s">
        <v>512</v>
      </c>
      <c r="O483" s="49"/>
      <c r="P483" s="49" t="s">
        <v>857</v>
      </c>
      <c r="Q483" s="49" t="s">
        <v>35</v>
      </c>
      <c r="R483" s="49">
        <v>3</v>
      </c>
      <c r="S483" s="102">
        <f t="shared" si="241"/>
        <v>75</v>
      </c>
      <c r="T483" s="49">
        <v>4</v>
      </c>
      <c r="U483" s="102">
        <f t="shared" si="242"/>
        <v>100</v>
      </c>
      <c r="V483" s="49" t="s">
        <v>890</v>
      </c>
      <c r="W483" s="49">
        <v>3</v>
      </c>
      <c r="X483" s="102">
        <f t="shared" si="243"/>
        <v>75</v>
      </c>
      <c r="Y483" s="51" t="str">
        <f t="shared" si="244"/>
        <v>Yes</v>
      </c>
      <c r="Z483" s="49" t="s">
        <v>35</v>
      </c>
      <c r="AA483" s="49" t="s">
        <v>23</v>
      </c>
      <c r="AB483" s="49" t="s">
        <v>23</v>
      </c>
      <c r="AC483" s="46" t="s">
        <v>26</v>
      </c>
      <c r="AD483" s="46" t="s">
        <v>27</v>
      </c>
      <c r="AE483" s="46" t="s">
        <v>73</v>
      </c>
      <c r="AF483" s="46" t="s">
        <v>29</v>
      </c>
      <c r="AG483" s="103"/>
      <c r="AH483" s="52">
        <v>3134</v>
      </c>
      <c r="AI483" s="52">
        <v>45568</v>
      </c>
      <c r="AJ483" s="102">
        <v>42.44</v>
      </c>
      <c r="AK483" s="104">
        <v>84.88</v>
      </c>
      <c r="AL483" s="102">
        <v>53.65</v>
      </c>
      <c r="AM483" s="102"/>
      <c r="AN483" s="53">
        <f t="shared" si="245"/>
        <v>107.3</v>
      </c>
      <c r="AO483" s="53">
        <v>34.46</v>
      </c>
      <c r="AP483" s="102"/>
      <c r="AQ483" s="102"/>
      <c r="AR483" s="102"/>
      <c r="AS483" s="102"/>
      <c r="AT483" s="102"/>
      <c r="AU483" s="102"/>
      <c r="AV483" s="102"/>
      <c r="AW483" s="102"/>
      <c r="AX483" s="102"/>
      <c r="AY483" s="102"/>
      <c r="AZ483" s="102"/>
      <c r="BA483" s="102"/>
      <c r="BB483" s="102"/>
      <c r="BC483" s="102"/>
      <c r="BD483" s="102"/>
      <c r="BE483" s="102"/>
      <c r="BF483" s="102"/>
      <c r="BG483" s="102"/>
      <c r="BH483" s="102"/>
      <c r="BI483" s="102"/>
      <c r="BJ483" s="102"/>
      <c r="BK483" s="102"/>
      <c r="BL483" s="102"/>
      <c r="BM483" s="102"/>
      <c r="BN483" s="50"/>
      <c r="BO483" s="102"/>
      <c r="BP483" s="102"/>
      <c r="BQ483" s="102"/>
      <c r="BR483" s="102"/>
      <c r="BS483" s="54" t="s">
        <v>29</v>
      </c>
      <c r="BT483" s="45" t="str">
        <f t="shared" si="237"/>
        <v>Yes</v>
      </c>
      <c r="BU483" s="45" t="str">
        <f t="shared" si="238"/>
        <v>Yes</v>
      </c>
      <c r="BV483" s="45" t="str">
        <f t="shared" si="239"/>
        <v>No</v>
      </c>
      <c r="BW483" s="105">
        <v>56.570483624591837</v>
      </c>
      <c r="BX483" s="105"/>
      <c r="BY483" s="105">
        <v>57.800483624591834</v>
      </c>
      <c r="BZ483" s="105"/>
      <c r="CA483" s="45">
        <v>2004</v>
      </c>
      <c r="CB483" s="105">
        <f t="shared" si="246"/>
        <v>29.356095989692381</v>
      </c>
      <c r="CC483" s="46" t="s">
        <v>491</v>
      </c>
      <c r="CD483" s="46" t="s">
        <v>494</v>
      </c>
      <c r="CE483" s="46" t="s">
        <v>783</v>
      </c>
      <c r="CF483" s="46">
        <v>2</v>
      </c>
      <c r="CG483" s="46" t="str">
        <f t="shared" si="247"/>
        <v>No</v>
      </c>
      <c r="CH483" s="46" t="s">
        <v>35</v>
      </c>
      <c r="CI483" s="56">
        <v>0</v>
      </c>
      <c r="CJ483" s="46">
        <v>10</v>
      </c>
      <c r="CK483" s="46" t="s">
        <v>23</v>
      </c>
      <c r="CL483" s="49" t="s">
        <v>29</v>
      </c>
      <c r="CM483" s="102">
        <v>0</v>
      </c>
      <c r="CN483" s="102"/>
      <c r="CO483" s="102"/>
      <c r="CP483" s="46" t="s">
        <v>35</v>
      </c>
      <c r="CQ483" s="46" t="s">
        <v>24</v>
      </c>
      <c r="CR483" s="46">
        <v>7</v>
      </c>
      <c r="CS483" s="46" t="s">
        <v>854</v>
      </c>
      <c r="CT483" s="46" t="s">
        <v>53</v>
      </c>
      <c r="CU483" s="46" t="s">
        <v>29</v>
      </c>
      <c r="CV483" s="46" t="s">
        <v>23</v>
      </c>
      <c r="CW483" s="46" t="s">
        <v>23</v>
      </c>
      <c r="CX483" s="45" t="s">
        <v>925</v>
      </c>
      <c r="CY483" s="45"/>
      <c r="CZ483" s="49">
        <v>0</v>
      </c>
      <c r="DA483" s="49">
        <v>0</v>
      </c>
      <c r="DB483" s="64">
        <v>155225</v>
      </c>
      <c r="DC483" s="58">
        <v>37.659999999999997</v>
      </c>
      <c r="DD483" s="58">
        <v>13.600000000000001</v>
      </c>
      <c r="DE483" s="58">
        <v>26.25</v>
      </c>
      <c r="DF483" s="58">
        <v>19.149999999999999</v>
      </c>
      <c r="DG483" s="58">
        <v>3.3400000000000096</v>
      </c>
      <c r="DH483" s="58">
        <v>62.339999999999996</v>
      </c>
      <c r="DI483" s="45" t="s">
        <v>35</v>
      </c>
      <c r="DJ483" s="59" t="str">
        <f t="shared" si="248"/>
        <v>No single majority group</v>
      </c>
      <c r="DK483" s="65">
        <v>16861.62</v>
      </c>
      <c r="DL483" s="58">
        <v>58.76</v>
      </c>
      <c r="DM483" s="58">
        <v>7.8100000000000005</v>
      </c>
      <c r="DN483" s="58">
        <v>8.2900000000000009</v>
      </c>
      <c r="DO483" s="58">
        <v>65.58</v>
      </c>
      <c r="DP483" s="66">
        <v>51.65</v>
      </c>
      <c r="DQ483" s="67">
        <v>51026.84</v>
      </c>
      <c r="DR483" s="53">
        <v>19.399999999999999</v>
      </c>
      <c r="DS483" s="58">
        <v>67.400000000000006</v>
      </c>
      <c r="DT483" s="53">
        <v>52.8</v>
      </c>
      <c r="DU483" s="105">
        <v>3.11</v>
      </c>
      <c r="DV483" s="102">
        <v>30.1</v>
      </c>
      <c r="DW483" s="53">
        <v>72.599999999999994</v>
      </c>
      <c r="DX483" s="53">
        <v>85.27</v>
      </c>
      <c r="DY483" s="53">
        <v>60.541600000000003</v>
      </c>
      <c r="DZ483" s="63"/>
    </row>
    <row r="484" spans="1:130" ht="15.75" hidden="1" customHeight="1">
      <c r="A484" s="45">
        <v>1446</v>
      </c>
      <c r="B484" s="46" t="s">
        <v>406</v>
      </c>
      <c r="C484" s="47">
        <v>2008</v>
      </c>
      <c r="D484" s="47" t="s">
        <v>91</v>
      </c>
      <c r="E484" s="46" t="s">
        <v>92</v>
      </c>
      <c r="F484" s="46">
        <v>4</v>
      </c>
      <c r="G484" s="48">
        <v>23927</v>
      </c>
      <c r="H484" s="46" t="s">
        <v>332</v>
      </c>
      <c r="I484" s="46">
        <v>1</v>
      </c>
      <c r="J484" s="46">
        <v>3</v>
      </c>
      <c r="K484" s="49" t="s">
        <v>414</v>
      </c>
      <c r="L484" s="49" t="s">
        <v>40</v>
      </c>
      <c r="M484" s="49" t="s">
        <v>35</v>
      </c>
      <c r="N484" s="49" t="s">
        <v>512</v>
      </c>
      <c r="O484" s="49"/>
      <c r="P484" s="49" t="s">
        <v>31</v>
      </c>
      <c r="Q484" s="49" t="s">
        <v>29</v>
      </c>
      <c r="R484" s="49">
        <v>1</v>
      </c>
      <c r="S484" s="102">
        <f t="shared" si="241"/>
        <v>33.333333333333329</v>
      </c>
      <c r="T484" s="49">
        <v>1</v>
      </c>
      <c r="U484" s="102">
        <f t="shared" si="242"/>
        <v>33.333333333333329</v>
      </c>
      <c r="V484" s="49" t="s">
        <v>858</v>
      </c>
      <c r="W484" s="49">
        <v>0</v>
      </c>
      <c r="X484" s="102">
        <f t="shared" si="243"/>
        <v>0</v>
      </c>
      <c r="Y484" s="51" t="str">
        <f t="shared" si="244"/>
        <v>No</v>
      </c>
      <c r="Z484" s="49" t="s">
        <v>35</v>
      </c>
      <c r="AA484" s="49" t="s">
        <v>23</v>
      </c>
      <c r="AB484" s="49" t="s">
        <v>23</v>
      </c>
      <c r="AC484" s="46" t="s">
        <v>26</v>
      </c>
      <c r="AD484" s="46" t="s">
        <v>27</v>
      </c>
      <c r="AE484" s="46" t="s">
        <v>89</v>
      </c>
      <c r="AF484" s="46" t="s">
        <v>29</v>
      </c>
      <c r="AG484" s="103"/>
      <c r="AH484" s="52">
        <v>4059</v>
      </c>
      <c r="AI484" s="52">
        <v>69778</v>
      </c>
      <c r="AJ484" s="102">
        <v>49.54</v>
      </c>
      <c r="AK484" s="104">
        <v>99.08</v>
      </c>
      <c r="AL484" s="102">
        <v>50.94</v>
      </c>
      <c r="AM484" s="102"/>
      <c r="AN484" s="53">
        <f t="shared" si="245"/>
        <v>101.88</v>
      </c>
      <c r="AO484" s="53">
        <v>31.9</v>
      </c>
      <c r="AP484" s="102"/>
      <c r="AQ484" s="102"/>
      <c r="AR484" s="102"/>
      <c r="AS484" s="102"/>
      <c r="AT484" s="102"/>
      <c r="AU484" s="102"/>
      <c r="AV484" s="102"/>
      <c r="AW484" s="102"/>
      <c r="AX484" s="102"/>
      <c r="AY484" s="102"/>
      <c r="AZ484" s="102"/>
      <c r="BA484" s="102"/>
      <c r="BB484" s="102"/>
      <c r="BC484" s="102"/>
      <c r="BD484" s="102"/>
      <c r="BE484" s="102"/>
      <c r="BF484" s="102"/>
      <c r="BG484" s="102"/>
      <c r="BH484" s="102"/>
      <c r="BI484" s="102"/>
      <c r="BJ484" s="102"/>
      <c r="BK484" s="102"/>
      <c r="BL484" s="102"/>
      <c r="BM484" s="102"/>
      <c r="BN484" s="50"/>
      <c r="BO484" s="102"/>
      <c r="BP484" s="102"/>
      <c r="BQ484" s="102"/>
      <c r="BR484" s="102"/>
      <c r="BS484" s="54" t="s">
        <v>29</v>
      </c>
      <c r="BT484" s="45" t="str">
        <f>IF(J484=I484, "No", IF(AJ484/AO484&lt;2, "Yes", "No"))</f>
        <v>Yes</v>
      </c>
      <c r="BU484" s="45" t="str">
        <f t="shared" si="238"/>
        <v>No</v>
      </c>
      <c r="BV484" s="45" t="str">
        <f>IF(J484=I484, "No", IF((ABS(AJ484-AO484))&lt;(5/I484), "Yes", "No"))</f>
        <v>No</v>
      </c>
      <c r="BW484" s="105">
        <v>68.103008669046403</v>
      </c>
      <c r="BX484" s="105"/>
      <c r="BY484" s="105">
        <v>64.468008669046412</v>
      </c>
      <c r="BZ484" s="105"/>
      <c r="CA484" s="45">
        <v>2008</v>
      </c>
      <c r="CB484" s="105">
        <f t="shared" si="246"/>
        <v>43.932506453440787</v>
      </c>
      <c r="CC484" s="46" t="s">
        <v>491</v>
      </c>
      <c r="CD484" s="46" t="s">
        <v>494</v>
      </c>
      <c r="CE484" s="46" t="s">
        <v>783</v>
      </c>
      <c r="CF484" s="46">
        <v>2</v>
      </c>
      <c r="CG484" s="46" t="str">
        <f t="shared" si="247"/>
        <v>No</v>
      </c>
      <c r="CH484" s="46" t="s">
        <v>35</v>
      </c>
      <c r="CI484" s="56">
        <v>0</v>
      </c>
      <c r="CJ484" s="46">
        <v>10</v>
      </c>
      <c r="CK484" s="46" t="s">
        <v>23</v>
      </c>
      <c r="CL484" s="49" t="s">
        <v>29</v>
      </c>
      <c r="CM484" s="102">
        <v>0</v>
      </c>
      <c r="CN484" s="102"/>
      <c r="CO484" s="102"/>
      <c r="CP484" s="46" t="s">
        <v>35</v>
      </c>
      <c r="CQ484" s="46" t="s">
        <v>24</v>
      </c>
      <c r="CR484" s="46">
        <v>7</v>
      </c>
      <c r="CS484" s="46" t="s">
        <v>854</v>
      </c>
      <c r="CT484" s="46" t="s">
        <v>53</v>
      </c>
      <c r="CU484" s="46" t="s">
        <v>29</v>
      </c>
      <c r="CV484" s="46" t="s">
        <v>23</v>
      </c>
      <c r="CW484" s="46" t="s">
        <v>23</v>
      </c>
      <c r="CX484" s="45" t="s">
        <v>421</v>
      </c>
      <c r="CY484" s="45" t="s">
        <v>918</v>
      </c>
      <c r="CZ484" s="49">
        <v>0</v>
      </c>
      <c r="DA484" s="49">
        <v>0</v>
      </c>
      <c r="DB484" s="64">
        <v>158830</v>
      </c>
      <c r="DC484" s="58">
        <v>35.480000000000004</v>
      </c>
      <c r="DD484" s="58">
        <v>13.239999999999998</v>
      </c>
      <c r="DE484" s="58">
        <v>27.750000000000004</v>
      </c>
      <c r="DF484" s="58">
        <v>19.830000000000002</v>
      </c>
      <c r="DG484" s="58">
        <v>3.7000000000000033</v>
      </c>
      <c r="DH484" s="58">
        <v>64.52</v>
      </c>
      <c r="DI484" s="45" t="s">
        <v>35</v>
      </c>
      <c r="DJ484" s="59" t="str">
        <f t="shared" si="248"/>
        <v>No single majority group</v>
      </c>
      <c r="DK484" s="65">
        <v>22135.14</v>
      </c>
      <c r="DL484" s="58">
        <v>45.46</v>
      </c>
      <c r="DM484" s="58">
        <v>2.5299999999999998</v>
      </c>
      <c r="DN484" s="58">
        <v>12.030000000000001</v>
      </c>
      <c r="DO484" s="58">
        <v>66.14</v>
      </c>
      <c r="DP484" s="66">
        <v>51.85</v>
      </c>
      <c r="DQ484" s="67">
        <v>50524.73</v>
      </c>
      <c r="DR484" s="53">
        <v>19.8</v>
      </c>
      <c r="DS484" s="58">
        <v>67.900000000000006</v>
      </c>
      <c r="DT484" s="53">
        <v>54.3</v>
      </c>
      <c r="DU484" s="105">
        <v>3.11</v>
      </c>
      <c r="DV484" s="102">
        <v>30.5</v>
      </c>
      <c r="DW484" s="53">
        <v>73.7</v>
      </c>
      <c r="DX484" s="53">
        <v>86.72</v>
      </c>
      <c r="DY484" s="53">
        <v>51.469099999999997</v>
      </c>
      <c r="DZ484" s="63"/>
    </row>
    <row r="485" spans="1:130" ht="15.75" hidden="1" customHeight="1">
      <c r="A485" s="45">
        <v>1447</v>
      </c>
      <c r="B485" s="46" t="s">
        <v>406</v>
      </c>
      <c r="C485" s="47">
        <v>2008</v>
      </c>
      <c r="D485" s="47" t="s">
        <v>79</v>
      </c>
      <c r="E485" s="46" t="s">
        <v>80</v>
      </c>
      <c r="F485" s="46">
        <v>4</v>
      </c>
      <c r="G485" s="48">
        <v>23927</v>
      </c>
      <c r="H485" s="46" t="s">
        <v>332</v>
      </c>
      <c r="I485" s="46">
        <v>1</v>
      </c>
      <c r="J485" s="46">
        <v>2</v>
      </c>
      <c r="K485" s="49" t="s">
        <v>420</v>
      </c>
      <c r="L485" s="49" t="s">
        <v>40</v>
      </c>
      <c r="M485" s="49" t="s">
        <v>35</v>
      </c>
      <c r="N485" s="49" t="s">
        <v>512</v>
      </c>
      <c r="O485" s="49"/>
      <c r="P485" s="49" t="s">
        <v>31</v>
      </c>
      <c r="Q485" s="49" t="s">
        <v>29</v>
      </c>
      <c r="R485" s="49">
        <v>1</v>
      </c>
      <c r="S485" s="102">
        <f t="shared" si="241"/>
        <v>50</v>
      </c>
      <c r="T485" s="49">
        <v>0</v>
      </c>
      <c r="U485" s="102">
        <f t="shared" si="242"/>
        <v>0</v>
      </c>
      <c r="V485" s="45"/>
      <c r="W485" s="49">
        <v>0</v>
      </c>
      <c r="X485" s="102">
        <f t="shared" si="243"/>
        <v>0</v>
      </c>
      <c r="Y485" s="51" t="str">
        <f t="shared" si="244"/>
        <v>No</v>
      </c>
      <c r="Z485" s="49" t="s">
        <v>35</v>
      </c>
      <c r="AA485" s="49" t="s">
        <v>23</v>
      </c>
      <c r="AB485" s="49" t="s">
        <v>23</v>
      </c>
      <c r="AC485" s="46" t="s">
        <v>26</v>
      </c>
      <c r="AD485" s="46" t="s">
        <v>27</v>
      </c>
      <c r="AE485" s="46" t="s">
        <v>89</v>
      </c>
      <c r="AF485" s="46" t="s">
        <v>29</v>
      </c>
      <c r="AG485" s="103"/>
      <c r="AH485" s="52">
        <v>4970</v>
      </c>
      <c r="AI485" s="52">
        <v>69445</v>
      </c>
      <c r="AJ485" s="102">
        <v>49.54</v>
      </c>
      <c r="AK485" s="104">
        <v>99.08</v>
      </c>
      <c r="AL485" s="102">
        <v>56.34</v>
      </c>
      <c r="AM485" s="102"/>
      <c r="AN485" s="53">
        <f t="shared" si="245"/>
        <v>112.68</v>
      </c>
      <c r="AO485" s="53">
        <v>50.08</v>
      </c>
      <c r="AP485" s="102"/>
      <c r="AQ485" s="102"/>
      <c r="AR485" s="102"/>
      <c r="AS485" s="102"/>
      <c r="AT485" s="102"/>
      <c r="AU485" s="102"/>
      <c r="AV485" s="102"/>
      <c r="AW485" s="102"/>
      <c r="AX485" s="102"/>
      <c r="AY485" s="102"/>
      <c r="AZ485" s="102"/>
      <c r="BA485" s="102"/>
      <c r="BB485" s="102"/>
      <c r="BC485" s="102"/>
      <c r="BD485" s="102"/>
      <c r="BE485" s="102"/>
      <c r="BF485" s="102"/>
      <c r="BG485" s="102"/>
      <c r="BH485" s="102"/>
      <c r="BI485" s="102"/>
      <c r="BJ485" s="102"/>
      <c r="BK485" s="102"/>
      <c r="BL485" s="102"/>
      <c r="BM485" s="102"/>
      <c r="BN485" s="50"/>
      <c r="BO485" s="102"/>
      <c r="BP485" s="102"/>
      <c r="BQ485" s="102"/>
      <c r="BR485" s="102"/>
      <c r="BS485" s="54" t="s">
        <v>35</v>
      </c>
      <c r="BT485" s="45" t="str">
        <f t="shared" si="237"/>
        <v>Yes</v>
      </c>
      <c r="BU485" s="45" t="str">
        <f t="shared" si="238"/>
        <v>Yes</v>
      </c>
      <c r="BV485" s="45" t="str">
        <f t="shared" si="239"/>
        <v>Yes</v>
      </c>
      <c r="BW485" s="105">
        <v>68.103008669046403</v>
      </c>
      <c r="BX485" s="105"/>
      <c r="BY485" s="105">
        <v>64.468008669046412</v>
      </c>
      <c r="BZ485" s="105"/>
      <c r="CA485" s="45">
        <v>2008</v>
      </c>
      <c r="CB485" s="105">
        <f t="shared" si="246"/>
        <v>43.72284832840144</v>
      </c>
      <c r="CC485" s="46" t="s">
        <v>491</v>
      </c>
      <c r="CD485" s="46" t="s">
        <v>494</v>
      </c>
      <c r="CE485" s="46" t="s">
        <v>783</v>
      </c>
      <c r="CF485" s="46">
        <v>2</v>
      </c>
      <c r="CG485" s="46" t="str">
        <f t="shared" si="247"/>
        <v>No</v>
      </c>
      <c r="CH485" s="46" t="s">
        <v>35</v>
      </c>
      <c r="CI485" s="56">
        <v>0</v>
      </c>
      <c r="CJ485" s="46">
        <v>10</v>
      </c>
      <c r="CK485" s="46" t="s">
        <v>23</v>
      </c>
      <c r="CL485" s="49" t="s">
        <v>29</v>
      </c>
      <c r="CM485" s="102">
        <v>0</v>
      </c>
      <c r="CN485" s="102"/>
      <c r="CO485" s="102"/>
      <c r="CP485" s="46" t="s">
        <v>35</v>
      </c>
      <c r="CQ485" s="46" t="s">
        <v>24</v>
      </c>
      <c r="CR485" s="46">
        <v>7</v>
      </c>
      <c r="CS485" s="46" t="s">
        <v>854</v>
      </c>
      <c r="CT485" s="46" t="s">
        <v>53</v>
      </c>
      <c r="CU485" s="46" t="s">
        <v>29</v>
      </c>
      <c r="CV485" s="46" t="s">
        <v>23</v>
      </c>
      <c r="CW485" s="46" t="s">
        <v>23</v>
      </c>
      <c r="CX485" s="45" t="s">
        <v>421</v>
      </c>
      <c r="CY485" s="45" t="s">
        <v>918</v>
      </c>
      <c r="CZ485" s="49">
        <v>0</v>
      </c>
      <c r="DA485" s="49">
        <v>0</v>
      </c>
      <c r="DB485" s="64">
        <v>158830</v>
      </c>
      <c r="DC485" s="58">
        <v>35.480000000000004</v>
      </c>
      <c r="DD485" s="58">
        <v>13.239999999999998</v>
      </c>
      <c r="DE485" s="58">
        <v>27.750000000000004</v>
      </c>
      <c r="DF485" s="58">
        <v>19.830000000000002</v>
      </c>
      <c r="DG485" s="58">
        <v>3.7000000000000033</v>
      </c>
      <c r="DH485" s="58">
        <v>64.52</v>
      </c>
      <c r="DI485" s="45" t="s">
        <v>35</v>
      </c>
      <c r="DJ485" s="59" t="str">
        <f t="shared" si="248"/>
        <v>No single majority group</v>
      </c>
      <c r="DK485" s="65">
        <v>24004.75</v>
      </c>
      <c r="DL485" s="58">
        <v>65.55</v>
      </c>
      <c r="DM485" s="58">
        <v>2.77</v>
      </c>
      <c r="DN485" s="58">
        <v>8.23</v>
      </c>
      <c r="DO485" s="58">
        <v>51.079999999999991</v>
      </c>
      <c r="DP485" s="66">
        <v>51.85</v>
      </c>
      <c r="DQ485" s="67">
        <v>50524.73</v>
      </c>
      <c r="DR485" s="53">
        <v>19.8</v>
      </c>
      <c r="DS485" s="58">
        <v>67.900000000000006</v>
      </c>
      <c r="DT485" s="53">
        <v>54.3</v>
      </c>
      <c r="DU485" s="105">
        <v>3.11</v>
      </c>
      <c r="DV485" s="102">
        <v>30.5</v>
      </c>
      <c r="DW485" s="53">
        <v>73.7</v>
      </c>
      <c r="DX485" s="53">
        <v>86.72</v>
      </c>
      <c r="DY485" s="53">
        <v>51.469099999999997</v>
      </c>
      <c r="DZ485" s="63"/>
    </row>
    <row r="486" spans="1:130" ht="15.75" hidden="1" customHeight="1">
      <c r="A486" s="45">
        <v>1448</v>
      </c>
      <c r="B486" s="46" t="s">
        <v>406</v>
      </c>
      <c r="C486" s="47">
        <v>2008</v>
      </c>
      <c r="D486" s="47" t="s">
        <v>100</v>
      </c>
      <c r="E486" s="46" t="s">
        <v>101</v>
      </c>
      <c r="F486" s="46">
        <v>4</v>
      </c>
      <c r="G486" s="48">
        <v>23927</v>
      </c>
      <c r="H486" s="46" t="s">
        <v>332</v>
      </c>
      <c r="I486" s="46">
        <v>1</v>
      </c>
      <c r="J486" s="46">
        <v>3</v>
      </c>
      <c r="K486" s="49" t="s">
        <v>421</v>
      </c>
      <c r="L486" s="49" t="s">
        <v>30</v>
      </c>
      <c r="M486" s="49" t="s">
        <v>29</v>
      </c>
      <c r="N486" s="49" t="s">
        <v>512</v>
      </c>
      <c r="O486" s="49"/>
      <c r="P486" s="49" t="s">
        <v>31</v>
      </c>
      <c r="Q486" s="49" t="s">
        <v>29</v>
      </c>
      <c r="R486" s="49">
        <v>0</v>
      </c>
      <c r="S486" s="102">
        <f t="shared" si="241"/>
        <v>0</v>
      </c>
      <c r="T486" s="49">
        <v>0</v>
      </c>
      <c r="U486" s="102">
        <f t="shared" si="242"/>
        <v>0</v>
      </c>
      <c r="V486" s="45"/>
      <c r="W486" s="49">
        <v>0</v>
      </c>
      <c r="X486" s="102">
        <f t="shared" si="243"/>
        <v>0</v>
      </c>
      <c r="Y486" s="51" t="str">
        <f t="shared" si="244"/>
        <v>No</v>
      </c>
      <c r="Z486" s="49" t="s">
        <v>35</v>
      </c>
      <c r="AA486" s="49" t="s">
        <v>23</v>
      </c>
      <c r="AB486" s="49" t="s">
        <v>23</v>
      </c>
      <c r="AC486" s="46" t="s">
        <v>26</v>
      </c>
      <c r="AD486" s="46" t="s">
        <v>27</v>
      </c>
      <c r="AE486" s="46" t="s">
        <v>89</v>
      </c>
      <c r="AF486" s="46" t="s">
        <v>29</v>
      </c>
      <c r="AG486" s="103"/>
      <c r="AH486" s="52">
        <v>3234</v>
      </c>
      <c r="AI486" s="52">
        <v>68690</v>
      </c>
      <c r="AJ486" s="102">
        <v>42.42</v>
      </c>
      <c r="AK486" s="104">
        <v>84.84</v>
      </c>
      <c r="AL486" s="102">
        <v>59.7</v>
      </c>
      <c r="AM486" s="102"/>
      <c r="AN486" s="53">
        <f t="shared" si="245"/>
        <v>119.4</v>
      </c>
      <c r="AO486" s="53">
        <v>36.24</v>
      </c>
      <c r="AP486" s="102"/>
      <c r="AQ486" s="102"/>
      <c r="AR486" s="102"/>
      <c r="AS486" s="102"/>
      <c r="AT486" s="102"/>
      <c r="AU486" s="102"/>
      <c r="AV486" s="102"/>
      <c r="AW486" s="102"/>
      <c r="AX486" s="102"/>
      <c r="AY486" s="102"/>
      <c r="AZ486" s="102"/>
      <c r="BA486" s="102"/>
      <c r="BB486" s="102"/>
      <c r="BC486" s="102"/>
      <c r="BD486" s="102"/>
      <c r="BE486" s="102"/>
      <c r="BF486" s="102"/>
      <c r="BG486" s="102"/>
      <c r="BH486" s="102"/>
      <c r="BI486" s="102"/>
      <c r="BJ486" s="102"/>
      <c r="BK486" s="102"/>
      <c r="BL486" s="102"/>
      <c r="BM486" s="102"/>
      <c r="BN486" s="50"/>
      <c r="BO486" s="102"/>
      <c r="BP486" s="102"/>
      <c r="BQ486" s="102"/>
      <c r="BR486" s="102"/>
      <c r="BS486" s="54" t="s">
        <v>29</v>
      </c>
      <c r="BT486" s="45" t="str">
        <f t="shared" si="237"/>
        <v>Yes</v>
      </c>
      <c r="BU486" s="45" t="str">
        <f t="shared" si="238"/>
        <v>Yes</v>
      </c>
      <c r="BV486" s="45" t="str">
        <f t="shared" si="239"/>
        <v>No</v>
      </c>
      <c r="BW486" s="105">
        <v>68.103008669046403</v>
      </c>
      <c r="BX486" s="105"/>
      <c r="BY486" s="105">
        <v>64.468008669046412</v>
      </c>
      <c r="BZ486" s="105"/>
      <c r="CA486" s="45">
        <v>2008</v>
      </c>
      <c r="CB486" s="105">
        <f t="shared" si="246"/>
        <v>43.247497324183087</v>
      </c>
      <c r="CC486" s="46" t="s">
        <v>491</v>
      </c>
      <c r="CD486" s="46" t="s">
        <v>494</v>
      </c>
      <c r="CE486" s="46" t="s">
        <v>783</v>
      </c>
      <c r="CF486" s="46">
        <v>2</v>
      </c>
      <c r="CG486" s="46" t="str">
        <f t="shared" si="247"/>
        <v>No</v>
      </c>
      <c r="CH486" s="46" t="s">
        <v>35</v>
      </c>
      <c r="CI486" s="56">
        <v>0</v>
      </c>
      <c r="CJ486" s="46">
        <v>10</v>
      </c>
      <c r="CK486" s="46" t="s">
        <v>23</v>
      </c>
      <c r="CL486" s="49" t="s">
        <v>29</v>
      </c>
      <c r="CM486" s="102">
        <v>0</v>
      </c>
      <c r="CN486" s="102"/>
      <c r="CO486" s="102"/>
      <c r="CP486" s="46" t="s">
        <v>35</v>
      </c>
      <c r="CQ486" s="46" t="s">
        <v>24</v>
      </c>
      <c r="CR486" s="46">
        <v>7</v>
      </c>
      <c r="CS486" s="46" t="s">
        <v>854</v>
      </c>
      <c r="CT486" s="46" t="s">
        <v>53</v>
      </c>
      <c r="CU486" s="46" t="s">
        <v>29</v>
      </c>
      <c r="CV486" s="46" t="s">
        <v>23</v>
      </c>
      <c r="CW486" s="46" t="s">
        <v>23</v>
      </c>
      <c r="CX486" s="45" t="s">
        <v>421</v>
      </c>
      <c r="CY486" s="45" t="s">
        <v>918</v>
      </c>
      <c r="CZ486" s="49">
        <v>0</v>
      </c>
      <c r="DA486" s="49">
        <v>0</v>
      </c>
      <c r="DB486" s="64">
        <v>158830</v>
      </c>
      <c r="DC486" s="58">
        <v>35.480000000000004</v>
      </c>
      <c r="DD486" s="58">
        <v>13.239999999999998</v>
      </c>
      <c r="DE486" s="58">
        <v>27.750000000000004</v>
      </c>
      <c r="DF486" s="58">
        <v>19.830000000000002</v>
      </c>
      <c r="DG486" s="58">
        <v>3.7000000000000033</v>
      </c>
      <c r="DH486" s="58">
        <v>64.52</v>
      </c>
      <c r="DI486" s="45" t="s">
        <v>35</v>
      </c>
      <c r="DJ486" s="59" t="str">
        <f t="shared" si="248"/>
        <v>No single majority group</v>
      </c>
      <c r="DK486" s="65">
        <v>23436.51</v>
      </c>
      <c r="DL486" s="58">
        <v>54.49</v>
      </c>
      <c r="DM486" s="58">
        <v>24.310000000000002</v>
      </c>
      <c r="DN486" s="58">
        <v>5.83</v>
      </c>
      <c r="DO486" s="58">
        <v>84.04</v>
      </c>
      <c r="DP486" s="66">
        <v>51.85</v>
      </c>
      <c r="DQ486" s="67">
        <v>50524.73</v>
      </c>
      <c r="DR486" s="53">
        <v>19.8</v>
      </c>
      <c r="DS486" s="58">
        <v>67.900000000000006</v>
      </c>
      <c r="DT486" s="53">
        <v>54.3</v>
      </c>
      <c r="DU486" s="105">
        <v>3.11</v>
      </c>
      <c r="DV486" s="102">
        <v>30.5</v>
      </c>
      <c r="DW486" s="53">
        <v>73.7</v>
      </c>
      <c r="DX486" s="53">
        <v>86.72</v>
      </c>
      <c r="DY486" s="53">
        <v>51.469099999999997</v>
      </c>
      <c r="DZ486" s="63"/>
    </row>
    <row r="487" spans="1:130" ht="15.75" hidden="1" customHeight="1">
      <c r="A487" s="45">
        <v>1445</v>
      </c>
      <c r="B487" s="46" t="s">
        <v>406</v>
      </c>
      <c r="C487" s="47">
        <v>2008</v>
      </c>
      <c r="D487" s="47" t="s">
        <v>38</v>
      </c>
      <c r="E487" s="46" t="s">
        <v>22</v>
      </c>
      <c r="F487" s="46">
        <v>4</v>
      </c>
      <c r="G487" s="48">
        <v>103000</v>
      </c>
      <c r="H487" s="46" t="s">
        <v>249</v>
      </c>
      <c r="I487" s="46">
        <v>1</v>
      </c>
      <c r="J487" s="46">
        <v>6</v>
      </c>
      <c r="K487" s="49" t="s">
        <v>419</v>
      </c>
      <c r="L487" s="49" t="s">
        <v>40</v>
      </c>
      <c r="M487" s="49" t="s">
        <v>35</v>
      </c>
      <c r="N487" s="49" t="s">
        <v>512</v>
      </c>
      <c r="O487" s="49"/>
      <c r="P487" s="49" t="s">
        <v>31</v>
      </c>
      <c r="Q487" s="49" t="s">
        <v>29</v>
      </c>
      <c r="R487" s="49">
        <v>1</v>
      </c>
      <c r="S487" s="102">
        <f t="shared" si="241"/>
        <v>16.666666666666664</v>
      </c>
      <c r="T487" s="49">
        <v>3</v>
      </c>
      <c r="U487" s="102">
        <f t="shared" si="242"/>
        <v>50</v>
      </c>
      <c r="V487" s="49" t="s">
        <v>865</v>
      </c>
      <c r="W487" s="49">
        <v>0</v>
      </c>
      <c r="X487" s="102">
        <f t="shared" si="243"/>
        <v>0</v>
      </c>
      <c r="Y487" s="51" t="str">
        <f t="shared" si="244"/>
        <v>No</v>
      </c>
      <c r="Z487" s="49" t="s">
        <v>35</v>
      </c>
      <c r="AA487" s="49" t="s">
        <v>23</v>
      </c>
      <c r="AB487" s="49" t="s">
        <v>23</v>
      </c>
      <c r="AC487" s="46" t="s">
        <v>26</v>
      </c>
      <c r="AD487" s="46" t="s">
        <v>27</v>
      </c>
      <c r="AE487" s="46" t="s">
        <v>89</v>
      </c>
      <c r="AF487" s="46" t="s">
        <v>29</v>
      </c>
      <c r="AG487" s="103"/>
      <c r="AH487" s="52">
        <v>29072</v>
      </c>
      <c r="AI487" s="52">
        <v>75603</v>
      </c>
      <c r="AJ487" s="102">
        <v>37.770000000000003</v>
      </c>
      <c r="AK487" s="104">
        <v>75.540000000000006</v>
      </c>
      <c r="AL487" s="102">
        <v>55.84</v>
      </c>
      <c r="AM487" s="102"/>
      <c r="AN487" s="53">
        <f t="shared" si="245"/>
        <v>111.68</v>
      </c>
      <c r="AO487" s="53">
        <v>29.14</v>
      </c>
      <c r="AP487" s="102"/>
      <c r="AQ487" s="102"/>
      <c r="AR487" s="102"/>
      <c r="AS487" s="102"/>
      <c r="AT487" s="102"/>
      <c r="AU487" s="102"/>
      <c r="AV487" s="102"/>
      <c r="AW487" s="102"/>
      <c r="AX487" s="102"/>
      <c r="AY487" s="102"/>
      <c r="AZ487" s="102"/>
      <c r="BA487" s="102"/>
      <c r="BB487" s="102"/>
      <c r="BC487" s="102"/>
      <c r="BD487" s="102"/>
      <c r="BE487" s="102"/>
      <c r="BF487" s="102"/>
      <c r="BG487" s="102"/>
      <c r="BH487" s="102"/>
      <c r="BI487" s="102"/>
      <c r="BJ487" s="102"/>
      <c r="BK487" s="102"/>
      <c r="BL487" s="102"/>
      <c r="BM487" s="102"/>
      <c r="BN487" s="50"/>
      <c r="BO487" s="102"/>
      <c r="BP487" s="102"/>
      <c r="BQ487" s="102"/>
      <c r="BR487" s="102"/>
      <c r="BS487" s="54" t="s">
        <v>29</v>
      </c>
      <c r="BT487" s="45" t="str">
        <f t="shared" si="237"/>
        <v>Yes</v>
      </c>
      <c r="BU487" s="45" t="str">
        <f t="shared" si="238"/>
        <v>Yes</v>
      </c>
      <c r="BV487" s="45" t="str">
        <f t="shared" si="239"/>
        <v>No</v>
      </c>
      <c r="BW487" s="105">
        <v>68.103008669046403</v>
      </c>
      <c r="BX487" s="105">
        <v>68.103008669046403</v>
      </c>
      <c r="BY487" s="105">
        <v>64.468008669046412</v>
      </c>
      <c r="BZ487" s="105">
        <f>BX487-(0.0727*100/2)</f>
        <v>64.468008669046398</v>
      </c>
      <c r="CA487" s="45">
        <v>2008</v>
      </c>
      <c r="CB487" s="105">
        <f t="shared" si="246"/>
        <v>47.599949631681667</v>
      </c>
      <c r="CC487" s="46" t="s">
        <v>953</v>
      </c>
      <c r="CD487" s="46" t="s">
        <v>494</v>
      </c>
      <c r="CE487" s="46" t="s">
        <v>783</v>
      </c>
      <c r="CF487" s="46">
        <v>2</v>
      </c>
      <c r="CG487" s="46" t="str">
        <f t="shared" si="247"/>
        <v>No</v>
      </c>
      <c r="CH487" s="46" t="s">
        <v>35</v>
      </c>
      <c r="CI487" s="56">
        <v>0</v>
      </c>
      <c r="CJ487" s="46">
        <v>10</v>
      </c>
      <c r="CK487" s="46" t="s">
        <v>23</v>
      </c>
      <c r="CL487" s="49" t="s">
        <v>29</v>
      </c>
      <c r="CM487" s="102">
        <v>0</v>
      </c>
      <c r="CN487" s="102"/>
      <c r="CO487" s="102"/>
      <c r="CP487" s="46" t="s">
        <v>23</v>
      </c>
      <c r="CQ487" s="46" t="s">
        <v>23</v>
      </c>
      <c r="CR487" s="46">
        <v>7</v>
      </c>
      <c r="CS487" s="46" t="s">
        <v>854</v>
      </c>
      <c r="CT487" s="46" t="s">
        <v>53</v>
      </c>
      <c r="CU487" s="46" t="s">
        <v>29</v>
      </c>
      <c r="CV487" s="46" t="s">
        <v>23</v>
      </c>
      <c r="CW487" s="46" t="s">
        <v>23</v>
      </c>
      <c r="CX487" s="45" t="s">
        <v>421</v>
      </c>
      <c r="CY487" s="45" t="s">
        <v>918</v>
      </c>
      <c r="CZ487" s="49">
        <v>0</v>
      </c>
      <c r="DA487" s="49">
        <v>0</v>
      </c>
      <c r="DB487" s="64">
        <v>158830</v>
      </c>
      <c r="DC487" s="58">
        <v>35.480000000000004</v>
      </c>
      <c r="DD487" s="58">
        <v>13.239999999999998</v>
      </c>
      <c r="DE487" s="58">
        <v>27.750000000000004</v>
      </c>
      <c r="DF487" s="58">
        <v>19.830000000000002</v>
      </c>
      <c r="DG487" s="58">
        <v>3.7000000000000033</v>
      </c>
      <c r="DH487" s="58">
        <v>64.52</v>
      </c>
      <c r="DI487" s="45" t="s">
        <v>35</v>
      </c>
      <c r="DJ487" s="59" t="str">
        <f t="shared" si="248"/>
        <v>No single majority group</v>
      </c>
      <c r="DK487" s="65">
        <v>158830</v>
      </c>
      <c r="DL487" s="58">
        <v>35.480000000000004</v>
      </c>
      <c r="DM487" s="58">
        <v>13.239999999999998</v>
      </c>
      <c r="DN487" s="58">
        <v>27.750000000000004</v>
      </c>
      <c r="DO487" s="58">
        <v>64.52</v>
      </c>
      <c r="DP487" s="66">
        <v>51.85</v>
      </c>
      <c r="DQ487" s="67">
        <v>50524.73</v>
      </c>
      <c r="DR487" s="53">
        <v>19.8</v>
      </c>
      <c r="DS487" s="58">
        <v>67.900000000000006</v>
      </c>
      <c r="DT487" s="53">
        <v>54.3</v>
      </c>
      <c r="DU487" s="105">
        <v>3.11</v>
      </c>
      <c r="DV487" s="102">
        <v>30.5</v>
      </c>
      <c r="DW487" s="53">
        <v>73.7</v>
      </c>
      <c r="DX487" s="53">
        <v>86.72</v>
      </c>
      <c r="DY487" s="53">
        <v>51.469099999999997</v>
      </c>
      <c r="DZ487" s="63"/>
    </row>
    <row r="488" spans="1:130" ht="15.75" hidden="1" customHeight="1">
      <c r="A488" s="45">
        <v>1442</v>
      </c>
      <c r="B488" s="46" t="s">
        <v>406</v>
      </c>
      <c r="C488" s="47">
        <v>2010</v>
      </c>
      <c r="D488" s="47" t="s">
        <v>76</v>
      </c>
      <c r="E488" s="46" t="s">
        <v>77</v>
      </c>
      <c r="F488" s="46">
        <v>4</v>
      </c>
      <c r="G488" s="48">
        <v>23927</v>
      </c>
      <c r="H488" s="46" t="s">
        <v>332</v>
      </c>
      <c r="I488" s="46">
        <v>1</v>
      </c>
      <c r="J488" s="46">
        <v>2</v>
      </c>
      <c r="K488" s="49" t="s">
        <v>408</v>
      </c>
      <c r="L488" s="49" t="s">
        <v>30</v>
      </c>
      <c r="M488" s="49" t="s">
        <v>29</v>
      </c>
      <c r="N488" s="49" t="s">
        <v>512</v>
      </c>
      <c r="O488" s="49"/>
      <c r="P488" s="49" t="s">
        <v>201</v>
      </c>
      <c r="Q488" s="49" t="s">
        <v>35</v>
      </c>
      <c r="R488" s="49">
        <v>1</v>
      </c>
      <c r="S488" s="102">
        <f t="shared" si="241"/>
        <v>50</v>
      </c>
      <c r="T488" s="49">
        <v>2</v>
      </c>
      <c r="U488" s="102">
        <f t="shared" si="242"/>
        <v>100</v>
      </c>
      <c r="V488" s="49" t="s">
        <v>869</v>
      </c>
      <c r="W488" s="49">
        <v>1</v>
      </c>
      <c r="X488" s="102">
        <f t="shared" si="243"/>
        <v>50</v>
      </c>
      <c r="Y488" s="51" t="str">
        <f t="shared" si="244"/>
        <v>No</v>
      </c>
      <c r="Z488" s="49" t="s">
        <v>35</v>
      </c>
      <c r="AA488" s="49" t="s">
        <v>23</v>
      </c>
      <c r="AB488" s="49" t="s">
        <v>23</v>
      </c>
      <c r="AC488" s="46" t="s">
        <v>26</v>
      </c>
      <c r="AD488" s="46" t="s">
        <v>27</v>
      </c>
      <c r="AE488" s="46" t="s">
        <v>73</v>
      </c>
      <c r="AF488" s="46" t="s">
        <v>29</v>
      </c>
      <c r="AG488" s="103"/>
      <c r="AH488" s="52">
        <v>7033</v>
      </c>
      <c r="AI488" s="52">
        <v>50158</v>
      </c>
      <c r="AJ488" s="102">
        <v>72.83</v>
      </c>
      <c r="AK488" s="104">
        <v>145.66</v>
      </c>
      <c r="AL488" s="102">
        <v>56.33</v>
      </c>
      <c r="AM488" s="102"/>
      <c r="AN488" s="53">
        <f t="shared" si="245"/>
        <v>112.66</v>
      </c>
      <c r="AO488" s="53">
        <v>26.53</v>
      </c>
      <c r="AP488" s="102"/>
      <c r="AQ488" s="102"/>
      <c r="AR488" s="102"/>
      <c r="AS488" s="102"/>
      <c r="AT488" s="102"/>
      <c r="AU488" s="102"/>
      <c r="AV488" s="102"/>
      <c r="AW488" s="102"/>
      <c r="AX488" s="102"/>
      <c r="AY488" s="102"/>
      <c r="AZ488" s="102"/>
      <c r="BA488" s="102"/>
      <c r="BB488" s="102"/>
      <c r="BC488" s="102"/>
      <c r="BD488" s="102"/>
      <c r="BE488" s="102"/>
      <c r="BF488" s="102"/>
      <c r="BG488" s="102"/>
      <c r="BH488" s="102"/>
      <c r="BI488" s="102"/>
      <c r="BJ488" s="102"/>
      <c r="BK488" s="102"/>
      <c r="BL488" s="102"/>
      <c r="BM488" s="102"/>
      <c r="BN488" s="50"/>
      <c r="BO488" s="102"/>
      <c r="BP488" s="102"/>
      <c r="BQ488" s="102"/>
      <c r="BR488" s="102"/>
      <c r="BS488" s="54" t="s">
        <v>29</v>
      </c>
      <c r="BT488" s="45" t="str">
        <f t="shared" si="237"/>
        <v>No</v>
      </c>
      <c r="BU488" s="45" t="str">
        <f t="shared" si="238"/>
        <v>No</v>
      </c>
      <c r="BV488" s="45" t="str">
        <f t="shared" si="239"/>
        <v>No</v>
      </c>
      <c r="BW488" s="105">
        <v>68.103008669046403</v>
      </c>
      <c r="BX488" s="105"/>
      <c r="BY488" s="105">
        <v>64.468008669046412</v>
      </c>
      <c r="BZ488" s="105"/>
      <c r="CA488" s="45">
        <v>2008</v>
      </c>
      <c r="CB488" s="105">
        <f t="shared" si="246"/>
        <v>30.412611793239353</v>
      </c>
      <c r="CC488" s="46" t="s">
        <v>491</v>
      </c>
      <c r="CD488" s="46" t="s">
        <v>494</v>
      </c>
      <c r="CE488" s="46" t="s">
        <v>783</v>
      </c>
      <c r="CF488" s="46">
        <v>2</v>
      </c>
      <c r="CG488" s="46" t="str">
        <f t="shared" si="247"/>
        <v>No</v>
      </c>
      <c r="CH488" s="46" t="s">
        <v>35</v>
      </c>
      <c r="CI488" s="56">
        <v>0</v>
      </c>
      <c r="CJ488" s="46">
        <v>10</v>
      </c>
      <c r="CK488" s="46" t="s">
        <v>23</v>
      </c>
      <c r="CL488" s="49" t="s">
        <v>29</v>
      </c>
      <c r="CM488" s="102">
        <v>0</v>
      </c>
      <c r="CN488" s="102"/>
      <c r="CO488" s="102"/>
      <c r="CP488" s="46" t="s">
        <v>35</v>
      </c>
      <c r="CQ488" s="46" t="s">
        <v>24</v>
      </c>
      <c r="CR488" s="46">
        <v>7</v>
      </c>
      <c r="CS488" s="46" t="s">
        <v>854</v>
      </c>
      <c r="CT488" s="46" t="s">
        <v>53</v>
      </c>
      <c r="CU488" s="46" t="s">
        <v>29</v>
      </c>
      <c r="CV488" s="46" t="s">
        <v>23</v>
      </c>
      <c r="CW488" s="46" t="s">
        <v>23</v>
      </c>
      <c r="CX488" s="45" t="s">
        <v>421</v>
      </c>
      <c r="CY488" s="45" t="s">
        <v>919</v>
      </c>
      <c r="CZ488" s="49">
        <v>0</v>
      </c>
      <c r="DA488" s="49">
        <v>0</v>
      </c>
      <c r="DB488" s="64">
        <v>164925</v>
      </c>
      <c r="DC488" s="58">
        <v>33.450000000000003</v>
      </c>
      <c r="DD488" s="58">
        <v>12.78</v>
      </c>
      <c r="DE488" s="58">
        <v>29.25</v>
      </c>
      <c r="DF488" s="58">
        <v>20.190000000000001</v>
      </c>
      <c r="DG488" s="58">
        <v>4.33</v>
      </c>
      <c r="DH488" s="58">
        <v>66.55</v>
      </c>
      <c r="DI488" s="45" t="s">
        <v>35</v>
      </c>
      <c r="DJ488" s="59" t="str">
        <f t="shared" si="248"/>
        <v>No single majority group</v>
      </c>
      <c r="DK488" s="65">
        <v>30363.8</v>
      </c>
      <c r="DL488" s="58">
        <v>11.690000000000001</v>
      </c>
      <c r="DM488" s="58">
        <v>60.940000000000005</v>
      </c>
      <c r="DN488" s="58">
        <v>18.240000000000002</v>
      </c>
      <c r="DO488" s="58">
        <v>88.31</v>
      </c>
      <c r="DP488" s="66">
        <v>52.55</v>
      </c>
      <c r="DQ488" s="67">
        <v>46965.9</v>
      </c>
      <c r="DR488" s="53">
        <v>23.3</v>
      </c>
      <c r="DS488" s="58">
        <v>68.400000000000006</v>
      </c>
      <c r="DT488" s="53">
        <v>51.9</v>
      </c>
      <c r="DU488" s="105">
        <v>3.17</v>
      </c>
      <c r="DV488" s="102">
        <v>30.8</v>
      </c>
      <c r="DW488" s="53">
        <v>73.7</v>
      </c>
      <c r="DX488" s="53">
        <v>72.45</v>
      </c>
      <c r="DY488" s="53">
        <v>61.2898</v>
      </c>
      <c r="DZ488" s="63"/>
    </row>
    <row r="489" spans="1:130" ht="15.75" hidden="1" customHeight="1">
      <c r="A489" s="45">
        <v>1443</v>
      </c>
      <c r="B489" s="46" t="s">
        <v>406</v>
      </c>
      <c r="C489" s="47">
        <v>2010</v>
      </c>
      <c r="D489" s="47" t="s">
        <v>94</v>
      </c>
      <c r="E489" s="46" t="s">
        <v>95</v>
      </c>
      <c r="F489" s="46">
        <v>4</v>
      </c>
      <c r="G489" s="48">
        <v>23927</v>
      </c>
      <c r="H489" s="46" t="s">
        <v>332</v>
      </c>
      <c r="I489" s="46">
        <v>1</v>
      </c>
      <c r="J489" s="46">
        <v>2</v>
      </c>
      <c r="K489" s="49" t="s">
        <v>417</v>
      </c>
      <c r="L489" s="49" t="s">
        <v>30</v>
      </c>
      <c r="M489" s="49" t="s">
        <v>29</v>
      </c>
      <c r="N489" s="49" t="s">
        <v>512</v>
      </c>
      <c r="O489" s="49"/>
      <c r="P489" s="49" t="s">
        <v>31</v>
      </c>
      <c r="Q489" s="49" t="s">
        <v>29</v>
      </c>
      <c r="R489" s="49">
        <v>0</v>
      </c>
      <c r="S489" s="102">
        <f t="shared" si="241"/>
        <v>0</v>
      </c>
      <c r="T489" s="49">
        <v>1</v>
      </c>
      <c r="U489" s="102">
        <f t="shared" si="242"/>
        <v>50</v>
      </c>
      <c r="V489" s="49" t="s">
        <v>789</v>
      </c>
      <c r="W489" s="49">
        <v>0</v>
      </c>
      <c r="X489" s="102">
        <f t="shared" si="243"/>
        <v>0</v>
      </c>
      <c r="Y489" s="51" t="str">
        <f t="shared" si="244"/>
        <v>No</v>
      </c>
      <c r="Z489" s="49" t="s">
        <v>35</v>
      </c>
      <c r="AA489" s="49" t="s">
        <v>23</v>
      </c>
      <c r="AB489" s="49" t="s">
        <v>23</v>
      </c>
      <c r="AC489" s="46" t="s">
        <v>26</v>
      </c>
      <c r="AD489" s="46" t="s">
        <v>27</v>
      </c>
      <c r="AE489" s="46" t="s">
        <v>73</v>
      </c>
      <c r="AF489" s="46" t="s">
        <v>29</v>
      </c>
      <c r="AG489" s="103"/>
      <c r="AH489" s="52">
        <v>6239</v>
      </c>
      <c r="AI489" s="52">
        <v>50055</v>
      </c>
      <c r="AJ489" s="102">
        <v>80.91</v>
      </c>
      <c r="AK489" s="104">
        <v>161.82</v>
      </c>
      <c r="AL489" s="102">
        <v>69.239999999999995</v>
      </c>
      <c r="AM489" s="102"/>
      <c r="AN489" s="53">
        <f t="shared" si="245"/>
        <v>138.47999999999999</v>
      </c>
      <c r="AO489" s="53">
        <v>18.579999999999998</v>
      </c>
      <c r="AP489" s="102"/>
      <c r="AQ489" s="102"/>
      <c r="AR489" s="102"/>
      <c r="AS489" s="102"/>
      <c r="AT489" s="102"/>
      <c r="AU489" s="102"/>
      <c r="AV489" s="102"/>
      <c r="AW489" s="102"/>
      <c r="AX489" s="102"/>
      <c r="AY489" s="102"/>
      <c r="AZ489" s="102"/>
      <c r="BA489" s="102"/>
      <c r="BB489" s="102"/>
      <c r="BC489" s="102"/>
      <c r="BD489" s="102"/>
      <c r="BE489" s="102"/>
      <c r="BF489" s="102"/>
      <c r="BG489" s="102"/>
      <c r="BH489" s="102"/>
      <c r="BI489" s="102"/>
      <c r="BJ489" s="102"/>
      <c r="BK489" s="102"/>
      <c r="BL489" s="102"/>
      <c r="BM489" s="102"/>
      <c r="BN489" s="50"/>
      <c r="BO489" s="102"/>
      <c r="BP489" s="102"/>
      <c r="BQ489" s="102"/>
      <c r="BR489" s="102"/>
      <c r="BS489" s="54" t="s">
        <v>29</v>
      </c>
      <c r="BT489" s="45" t="str">
        <f t="shared" si="237"/>
        <v>No</v>
      </c>
      <c r="BU489" s="45" t="str">
        <f t="shared" si="238"/>
        <v>No</v>
      </c>
      <c r="BV489" s="45" t="str">
        <f t="shared" si="239"/>
        <v>No</v>
      </c>
      <c r="BW489" s="105">
        <v>68.103008669046403</v>
      </c>
      <c r="BX489" s="105"/>
      <c r="BY489" s="105">
        <v>64.468008669046412</v>
      </c>
      <c r="BZ489" s="105"/>
      <c r="CA489" s="45">
        <v>2008</v>
      </c>
      <c r="CB489" s="105">
        <f t="shared" si="246"/>
        <v>30.350159163256023</v>
      </c>
      <c r="CC489" s="46" t="s">
        <v>491</v>
      </c>
      <c r="CD489" s="46" t="s">
        <v>494</v>
      </c>
      <c r="CE489" s="46" t="s">
        <v>783</v>
      </c>
      <c r="CF489" s="46">
        <v>2</v>
      </c>
      <c r="CG489" s="46" t="str">
        <f t="shared" si="247"/>
        <v>No</v>
      </c>
      <c r="CH489" s="46" t="s">
        <v>35</v>
      </c>
      <c r="CI489" s="56">
        <v>0</v>
      </c>
      <c r="CJ489" s="46">
        <v>10</v>
      </c>
      <c r="CK489" s="46" t="s">
        <v>23</v>
      </c>
      <c r="CL489" s="49" t="s">
        <v>29</v>
      </c>
      <c r="CM489" s="102">
        <v>0</v>
      </c>
      <c r="CN489" s="102"/>
      <c r="CO489" s="102"/>
      <c r="CP489" s="46" t="s">
        <v>35</v>
      </c>
      <c r="CQ489" s="46" t="s">
        <v>24</v>
      </c>
      <c r="CR489" s="46">
        <v>7</v>
      </c>
      <c r="CS489" s="46" t="s">
        <v>854</v>
      </c>
      <c r="CT489" s="46" t="s">
        <v>53</v>
      </c>
      <c r="CU489" s="46" t="s">
        <v>29</v>
      </c>
      <c r="CV489" s="46" t="s">
        <v>23</v>
      </c>
      <c r="CW489" s="46" t="s">
        <v>23</v>
      </c>
      <c r="CX489" s="45" t="s">
        <v>421</v>
      </c>
      <c r="CY489" s="45" t="s">
        <v>919</v>
      </c>
      <c r="CZ489" s="49">
        <v>0</v>
      </c>
      <c r="DA489" s="49">
        <v>0</v>
      </c>
      <c r="DB489" s="64">
        <v>164925</v>
      </c>
      <c r="DC489" s="58">
        <v>33.450000000000003</v>
      </c>
      <c r="DD489" s="58">
        <v>12.78</v>
      </c>
      <c r="DE489" s="58">
        <v>29.25</v>
      </c>
      <c r="DF489" s="58">
        <v>20.190000000000001</v>
      </c>
      <c r="DG489" s="58">
        <v>4.33</v>
      </c>
      <c r="DH489" s="58">
        <v>66.55</v>
      </c>
      <c r="DI489" s="45" t="s">
        <v>35</v>
      </c>
      <c r="DJ489" s="59" t="str">
        <f t="shared" si="248"/>
        <v>No single majority group</v>
      </c>
      <c r="DK489" s="65">
        <v>28145.38</v>
      </c>
      <c r="DL489" s="58">
        <v>45.989999999999995</v>
      </c>
      <c r="DM489" s="58">
        <v>9.51</v>
      </c>
      <c r="DN489" s="58">
        <v>24.12</v>
      </c>
      <c r="DO489" s="58">
        <v>54.010000000000005</v>
      </c>
      <c r="DP489" s="66">
        <v>52.55</v>
      </c>
      <c r="DQ489" s="67">
        <v>46965.9</v>
      </c>
      <c r="DR489" s="53">
        <v>23.3</v>
      </c>
      <c r="DS489" s="58">
        <v>68.400000000000006</v>
      </c>
      <c r="DT489" s="53">
        <v>51.9</v>
      </c>
      <c r="DU489" s="105">
        <v>3.17</v>
      </c>
      <c r="DV489" s="102">
        <v>30.8</v>
      </c>
      <c r="DW489" s="53">
        <v>73.7</v>
      </c>
      <c r="DX489" s="53">
        <v>72.45</v>
      </c>
      <c r="DY489" s="53">
        <v>61.2898</v>
      </c>
      <c r="DZ489" s="63"/>
    </row>
    <row r="490" spans="1:130" ht="15.75" hidden="1" customHeight="1">
      <c r="A490" s="45">
        <v>1444</v>
      </c>
      <c r="B490" s="46" t="s">
        <v>406</v>
      </c>
      <c r="C490" s="47">
        <v>2010</v>
      </c>
      <c r="D490" s="47" t="s">
        <v>97</v>
      </c>
      <c r="E490" s="46" t="s">
        <v>98</v>
      </c>
      <c r="F490" s="46">
        <v>4</v>
      </c>
      <c r="G490" s="48">
        <v>23927</v>
      </c>
      <c r="H490" s="46" t="s">
        <v>332</v>
      </c>
      <c r="I490" s="46">
        <v>1</v>
      </c>
      <c r="J490" s="46">
        <v>2</v>
      </c>
      <c r="K490" s="49" t="s">
        <v>418</v>
      </c>
      <c r="L490" s="49" t="s">
        <v>40</v>
      </c>
      <c r="M490" s="49" t="s">
        <v>35</v>
      </c>
      <c r="N490" s="49" t="s">
        <v>513</v>
      </c>
      <c r="O490" s="49"/>
      <c r="P490" s="49" t="s">
        <v>857</v>
      </c>
      <c r="Q490" s="49" t="s">
        <v>35</v>
      </c>
      <c r="R490" s="49">
        <v>1</v>
      </c>
      <c r="S490" s="102">
        <f t="shared" si="241"/>
        <v>50</v>
      </c>
      <c r="T490" s="49">
        <v>2</v>
      </c>
      <c r="U490" s="102">
        <f t="shared" si="242"/>
        <v>100</v>
      </c>
      <c r="V490" s="49" t="s">
        <v>869</v>
      </c>
      <c r="W490" s="49">
        <v>1</v>
      </c>
      <c r="X490" s="102">
        <f t="shared" si="243"/>
        <v>50</v>
      </c>
      <c r="Y490" s="51" t="str">
        <f t="shared" si="244"/>
        <v>Yes</v>
      </c>
      <c r="Z490" s="49" t="s">
        <v>29</v>
      </c>
      <c r="AA490" s="49" t="s">
        <v>35</v>
      </c>
      <c r="AB490" s="45" t="s">
        <v>35</v>
      </c>
      <c r="AC490" s="46" t="s">
        <v>26</v>
      </c>
      <c r="AD490" s="46" t="s">
        <v>27</v>
      </c>
      <c r="AE490" s="46" t="s">
        <v>73</v>
      </c>
      <c r="AF490" s="46" t="s">
        <v>29</v>
      </c>
      <c r="AG490" s="103"/>
      <c r="AH490" s="52">
        <v>2918</v>
      </c>
      <c r="AI490" s="52">
        <v>52587</v>
      </c>
      <c r="AJ490" s="102">
        <v>75.94</v>
      </c>
      <c r="AK490" s="104">
        <v>151.88</v>
      </c>
      <c r="AL490" s="102">
        <v>72.819999999999993</v>
      </c>
      <c r="AM490" s="102"/>
      <c r="AN490" s="53">
        <f t="shared" si="245"/>
        <v>145.63999999999999</v>
      </c>
      <c r="AO490" s="53">
        <v>23.2</v>
      </c>
      <c r="AP490" s="102"/>
      <c r="AQ490" s="102"/>
      <c r="AR490" s="102"/>
      <c r="AS490" s="102"/>
      <c r="AT490" s="102"/>
      <c r="AU490" s="102"/>
      <c r="AV490" s="102"/>
      <c r="AW490" s="102"/>
      <c r="AX490" s="102"/>
      <c r="AY490" s="102"/>
      <c r="AZ490" s="102"/>
      <c r="BA490" s="102"/>
      <c r="BB490" s="102"/>
      <c r="BC490" s="102"/>
      <c r="BD490" s="102"/>
      <c r="BE490" s="102"/>
      <c r="BF490" s="102"/>
      <c r="BG490" s="102"/>
      <c r="BH490" s="102"/>
      <c r="BI490" s="102"/>
      <c r="BJ490" s="102"/>
      <c r="BK490" s="102"/>
      <c r="BL490" s="102"/>
      <c r="BM490" s="102"/>
      <c r="BN490" s="50"/>
      <c r="BO490" s="102"/>
      <c r="BP490" s="102"/>
      <c r="BQ490" s="102"/>
      <c r="BR490" s="102"/>
      <c r="BS490" s="54" t="s">
        <v>29</v>
      </c>
      <c r="BT490" s="45" t="str">
        <f t="shared" si="237"/>
        <v>No</v>
      </c>
      <c r="BU490" s="45" t="str">
        <f t="shared" si="238"/>
        <v>No</v>
      </c>
      <c r="BV490" s="45" t="str">
        <f t="shared" si="239"/>
        <v>No</v>
      </c>
      <c r="BW490" s="105">
        <v>68.103008669046403</v>
      </c>
      <c r="BX490" s="105"/>
      <c r="BY490" s="105">
        <v>64.468008669046412</v>
      </c>
      <c r="BZ490" s="105"/>
      <c r="CA490" s="45">
        <v>2008</v>
      </c>
      <c r="CB490" s="105">
        <f t="shared" si="246"/>
        <v>31.885402455661666</v>
      </c>
      <c r="CC490" s="46" t="s">
        <v>491</v>
      </c>
      <c r="CD490" s="46" t="s">
        <v>494</v>
      </c>
      <c r="CE490" s="46" t="s">
        <v>783</v>
      </c>
      <c r="CF490" s="46">
        <v>2</v>
      </c>
      <c r="CG490" s="46" t="str">
        <f t="shared" si="247"/>
        <v>No</v>
      </c>
      <c r="CH490" s="46" t="s">
        <v>35</v>
      </c>
      <c r="CI490" s="56">
        <v>0</v>
      </c>
      <c r="CJ490" s="46">
        <v>10</v>
      </c>
      <c r="CK490" s="46" t="s">
        <v>23</v>
      </c>
      <c r="CL490" s="49" t="s">
        <v>29</v>
      </c>
      <c r="CM490" s="102">
        <v>0</v>
      </c>
      <c r="CN490" s="102"/>
      <c r="CO490" s="102"/>
      <c r="CP490" s="46" t="s">
        <v>35</v>
      </c>
      <c r="CQ490" s="46" t="s">
        <v>24</v>
      </c>
      <c r="CR490" s="46">
        <v>7</v>
      </c>
      <c r="CS490" s="46" t="s">
        <v>854</v>
      </c>
      <c r="CT490" s="46" t="s">
        <v>53</v>
      </c>
      <c r="CU490" s="46" t="s">
        <v>29</v>
      </c>
      <c r="CV490" s="46" t="s">
        <v>23</v>
      </c>
      <c r="CW490" s="46" t="s">
        <v>23</v>
      </c>
      <c r="CX490" s="45" t="s">
        <v>421</v>
      </c>
      <c r="CY490" s="45" t="s">
        <v>919</v>
      </c>
      <c r="CZ490" s="49">
        <v>0</v>
      </c>
      <c r="DA490" s="49">
        <v>0</v>
      </c>
      <c r="DB490" s="64">
        <v>164925</v>
      </c>
      <c r="DC490" s="58">
        <v>33.450000000000003</v>
      </c>
      <c r="DD490" s="58">
        <v>12.78</v>
      </c>
      <c r="DE490" s="58">
        <v>29.25</v>
      </c>
      <c r="DF490" s="58">
        <v>20.190000000000001</v>
      </c>
      <c r="DG490" s="58">
        <v>4.33</v>
      </c>
      <c r="DH490" s="58">
        <v>66.55</v>
      </c>
      <c r="DI490" s="45" t="s">
        <v>35</v>
      </c>
      <c r="DJ490" s="59" t="str">
        <f t="shared" si="248"/>
        <v>No single majority group</v>
      </c>
      <c r="DK490" s="65">
        <v>19930.87</v>
      </c>
      <c r="DL490" s="58">
        <v>78.83</v>
      </c>
      <c r="DM490" s="58">
        <v>1.6099999999999999</v>
      </c>
      <c r="DN490" s="58">
        <v>4.29</v>
      </c>
      <c r="DO490" s="58">
        <v>68.399999999999991</v>
      </c>
      <c r="DP490" s="66">
        <v>52.55</v>
      </c>
      <c r="DQ490" s="67">
        <v>46965.9</v>
      </c>
      <c r="DR490" s="53">
        <v>23.3</v>
      </c>
      <c r="DS490" s="58">
        <v>68.400000000000006</v>
      </c>
      <c r="DT490" s="53">
        <v>51.9</v>
      </c>
      <c r="DU490" s="105">
        <v>3.17</v>
      </c>
      <c r="DV490" s="102">
        <v>30.8</v>
      </c>
      <c r="DW490" s="53">
        <v>73.7</v>
      </c>
      <c r="DX490" s="53">
        <v>72.45</v>
      </c>
      <c r="DY490" s="53">
        <v>61.2898</v>
      </c>
      <c r="DZ490" s="63"/>
    </row>
    <row r="491" spans="1:130" ht="15.75" hidden="1" customHeight="1">
      <c r="A491" s="45">
        <v>1439</v>
      </c>
      <c r="B491" s="46" t="s">
        <v>406</v>
      </c>
      <c r="C491" s="47">
        <v>2012</v>
      </c>
      <c r="D491" s="47" t="s">
        <v>91</v>
      </c>
      <c r="E491" s="46" t="s">
        <v>92</v>
      </c>
      <c r="F491" s="46">
        <v>4</v>
      </c>
      <c r="G491" s="48">
        <v>23927</v>
      </c>
      <c r="H491" s="46" t="s">
        <v>332</v>
      </c>
      <c r="I491" s="46">
        <v>1</v>
      </c>
      <c r="J491" s="46">
        <v>2</v>
      </c>
      <c r="K491" s="49" t="s">
        <v>414</v>
      </c>
      <c r="L491" s="49" t="s">
        <v>40</v>
      </c>
      <c r="M491" s="49" t="s">
        <v>35</v>
      </c>
      <c r="N491" s="49" t="s">
        <v>513</v>
      </c>
      <c r="O491" s="49"/>
      <c r="P491" s="49" t="s">
        <v>31</v>
      </c>
      <c r="Q491" s="49" t="s">
        <v>29</v>
      </c>
      <c r="R491" s="49">
        <v>1</v>
      </c>
      <c r="S491" s="102">
        <f t="shared" si="241"/>
        <v>50</v>
      </c>
      <c r="T491" s="49">
        <v>0</v>
      </c>
      <c r="U491" s="102">
        <f t="shared" si="242"/>
        <v>0</v>
      </c>
      <c r="V491" s="45"/>
      <c r="W491" s="49">
        <v>0</v>
      </c>
      <c r="X491" s="102">
        <f t="shared" si="243"/>
        <v>0</v>
      </c>
      <c r="Y491" s="51" t="str">
        <f t="shared" si="244"/>
        <v>No</v>
      </c>
      <c r="Z491" s="49" t="s">
        <v>29</v>
      </c>
      <c r="AA491" s="49" t="s">
        <v>29</v>
      </c>
      <c r="AB491" s="45" t="s">
        <v>35</v>
      </c>
      <c r="AC491" s="46" t="s">
        <v>26</v>
      </c>
      <c r="AD491" s="46" t="s">
        <v>27</v>
      </c>
      <c r="AE491" s="46" t="s">
        <v>89</v>
      </c>
      <c r="AF491" s="46" t="s">
        <v>29</v>
      </c>
      <c r="AG491" s="103">
        <v>79327</v>
      </c>
      <c r="AH491" s="52">
        <v>5333</v>
      </c>
      <c r="AI491" s="52">
        <v>68210</v>
      </c>
      <c r="AJ491" s="102">
        <v>61.17</v>
      </c>
      <c r="AK491" s="104">
        <v>122.34</v>
      </c>
      <c r="AL491" s="102">
        <v>59.17</v>
      </c>
      <c r="AM491" s="102"/>
      <c r="AN491" s="53">
        <f t="shared" si="245"/>
        <v>118.34</v>
      </c>
      <c r="AO491" s="53">
        <v>38.270000000000003</v>
      </c>
      <c r="AP491" s="102">
        <f t="shared" ref="AP491:AP497" si="249">AG491-AI491</f>
        <v>11117</v>
      </c>
      <c r="AQ491" s="102">
        <f t="shared" ref="AQ491:AQ497" si="250">AP491/AG491 *100</f>
        <v>14.014143986284619</v>
      </c>
      <c r="AR491" s="102"/>
      <c r="AS491" s="102"/>
      <c r="AT491" s="102"/>
      <c r="AU491" s="102"/>
      <c r="AV491" s="102"/>
      <c r="AW491" s="102"/>
      <c r="AX491" s="102"/>
      <c r="AY491" s="102"/>
      <c r="AZ491" s="102"/>
      <c r="BA491" s="102"/>
      <c r="BB491" s="102"/>
      <c r="BC491" s="102"/>
      <c r="BD491" s="102"/>
      <c r="BE491" s="102"/>
      <c r="BF491" s="102"/>
      <c r="BG491" s="102"/>
      <c r="BH491" s="102"/>
      <c r="BI491" s="102"/>
      <c r="BJ491" s="102"/>
      <c r="BK491" s="102"/>
      <c r="BL491" s="102"/>
      <c r="BM491" s="102"/>
      <c r="BN491" s="50"/>
      <c r="BO491" s="102"/>
      <c r="BP491" s="102"/>
      <c r="BQ491" s="102"/>
      <c r="BR491" s="102"/>
      <c r="BS491" s="54" t="s">
        <v>29</v>
      </c>
      <c r="BT491" s="45" t="str">
        <f t="shared" si="237"/>
        <v>Yes</v>
      </c>
      <c r="BU491" s="45" t="str">
        <f t="shared" si="238"/>
        <v>No</v>
      </c>
      <c r="BV491" s="45" t="str">
        <f t="shared" si="239"/>
        <v>No</v>
      </c>
      <c r="BW491" s="105">
        <f t="shared" ref="BW491:BW497" si="251">(53139/(53139+23934))*100</f>
        <v>68.946323615273826</v>
      </c>
      <c r="BX491" s="105"/>
      <c r="BY491" s="105">
        <v>67.016323615273834</v>
      </c>
      <c r="BZ491" s="105"/>
      <c r="CA491" s="45">
        <v>2012</v>
      </c>
      <c r="CB491" s="105">
        <f t="shared" si="246"/>
        <v>40.746714456391878</v>
      </c>
      <c r="CC491" s="46" t="s">
        <v>491</v>
      </c>
      <c r="CD491" s="46" t="s">
        <v>494</v>
      </c>
      <c r="CE491" s="46" t="s">
        <v>783</v>
      </c>
      <c r="CF491" s="46">
        <v>2</v>
      </c>
      <c r="CG491" s="46" t="str">
        <f t="shared" si="247"/>
        <v>No</v>
      </c>
      <c r="CH491" s="46" t="s">
        <v>35</v>
      </c>
      <c r="CI491" s="56">
        <v>0</v>
      </c>
      <c r="CJ491" s="46">
        <v>10</v>
      </c>
      <c r="CK491" s="46" t="s">
        <v>23</v>
      </c>
      <c r="CL491" s="49" t="s">
        <v>29</v>
      </c>
      <c r="CM491" s="102">
        <v>0</v>
      </c>
      <c r="CN491" s="102"/>
      <c r="CO491" s="102"/>
      <c r="CP491" s="46" t="s">
        <v>35</v>
      </c>
      <c r="CQ491" s="46" t="s">
        <v>24</v>
      </c>
      <c r="CR491" s="46">
        <v>7</v>
      </c>
      <c r="CS491" s="46" t="s">
        <v>854</v>
      </c>
      <c r="CT491" s="46" t="s">
        <v>53</v>
      </c>
      <c r="CU491" s="46" t="s">
        <v>29</v>
      </c>
      <c r="CV491" s="46" t="s">
        <v>23</v>
      </c>
      <c r="CW491" s="46" t="s">
        <v>23</v>
      </c>
      <c r="CX491" s="45" t="s">
        <v>421</v>
      </c>
      <c r="CY491" s="45" t="s">
        <v>919</v>
      </c>
      <c r="CZ491" s="49">
        <v>0</v>
      </c>
      <c r="DA491" s="49">
        <v>0</v>
      </c>
      <c r="DB491" s="64">
        <v>167400</v>
      </c>
      <c r="DC491" s="58">
        <v>31.658555066592836</v>
      </c>
      <c r="DD491" s="58">
        <v>13.044618657651618</v>
      </c>
      <c r="DE491" s="58">
        <v>30.428700492524701</v>
      </c>
      <c r="DF491" s="58">
        <v>20.505347827354065</v>
      </c>
      <c r="DG491" s="58">
        <v>4.3627779558767843</v>
      </c>
      <c r="DH491" s="58">
        <v>68.341444933407175</v>
      </c>
      <c r="DI491" s="45" t="s">
        <v>35</v>
      </c>
      <c r="DJ491" s="59" t="str">
        <f t="shared" si="248"/>
        <v>No single majority group</v>
      </c>
      <c r="DK491" s="65">
        <v>25786</v>
      </c>
      <c r="DL491" s="58">
        <v>36.9</v>
      </c>
      <c r="DM491" s="58">
        <v>12.23</v>
      </c>
      <c r="DN491" s="58">
        <v>21.43</v>
      </c>
      <c r="DO491" s="58">
        <v>63.1</v>
      </c>
      <c r="DP491" s="66">
        <v>52.15</v>
      </c>
      <c r="DQ491" s="67">
        <v>45347</v>
      </c>
      <c r="DR491" s="53">
        <v>25.8</v>
      </c>
      <c r="DS491" s="58">
        <v>66.900000000000006</v>
      </c>
      <c r="DT491" s="53">
        <v>49.6</v>
      </c>
      <c r="DU491" s="105">
        <v>3.19</v>
      </c>
      <c r="DV491" s="102">
        <v>31.2</v>
      </c>
      <c r="DW491" s="53">
        <v>74.900000000000006</v>
      </c>
      <c r="DX491" s="53">
        <v>91.23</v>
      </c>
      <c r="DY491" s="53">
        <v>60.732900000000001</v>
      </c>
      <c r="DZ491" s="63"/>
    </row>
    <row r="492" spans="1:130" ht="15.75" hidden="1" customHeight="1">
      <c r="A492" s="45">
        <v>1440</v>
      </c>
      <c r="B492" s="46" t="s">
        <v>406</v>
      </c>
      <c r="C492" s="47">
        <v>2012</v>
      </c>
      <c r="D492" s="47" t="s">
        <v>79</v>
      </c>
      <c r="E492" s="71" t="s">
        <v>80</v>
      </c>
      <c r="F492" s="46">
        <v>4</v>
      </c>
      <c r="G492" s="48">
        <v>23927</v>
      </c>
      <c r="H492" s="46" t="s">
        <v>332</v>
      </c>
      <c r="I492" s="46">
        <v>1</v>
      </c>
      <c r="J492" s="46">
        <v>3</v>
      </c>
      <c r="K492" s="49" t="s">
        <v>415</v>
      </c>
      <c r="L492" s="49" t="s">
        <v>30</v>
      </c>
      <c r="M492" s="49" t="s">
        <v>29</v>
      </c>
      <c r="N492" s="49" t="s">
        <v>618</v>
      </c>
      <c r="O492" s="49"/>
      <c r="P492" s="49" t="s">
        <v>857</v>
      </c>
      <c r="Q492" s="49" t="s">
        <v>35</v>
      </c>
      <c r="R492" s="49">
        <v>2</v>
      </c>
      <c r="S492" s="102">
        <f t="shared" si="241"/>
        <v>66.666666666666657</v>
      </c>
      <c r="T492" s="49">
        <v>2</v>
      </c>
      <c r="U492" s="102">
        <f t="shared" si="242"/>
        <v>66.666666666666657</v>
      </c>
      <c r="V492" s="49" t="s">
        <v>794</v>
      </c>
      <c r="W492" s="49">
        <v>1</v>
      </c>
      <c r="X492" s="102">
        <f t="shared" si="243"/>
        <v>33.333333333333329</v>
      </c>
      <c r="Y492" s="51" t="str">
        <f t="shared" si="244"/>
        <v>No</v>
      </c>
      <c r="Z492" s="49" t="s">
        <v>29</v>
      </c>
      <c r="AA492" s="49" t="s">
        <v>29</v>
      </c>
      <c r="AB492" s="45" t="s">
        <v>35</v>
      </c>
      <c r="AC492" s="46" t="s">
        <v>26</v>
      </c>
      <c r="AD492" s="46" t="s">
        <v>27</v>
      </c>
      <c r="AE492" s="46" t="s">
        <v>89</v>
      </c>
      <c r="AF492" s="46" t="s">
        <v>29</v>
      </c>
      <c r="AG492" s="103">
        <v>79327</v>
      </c>
      <c r="AH492" s="52">
        <v>6927</v>
      </c>
      <c r="AI492" s="52">
        <v>69166</v>
      </c>
      <c r="AJ492" s="102">
        <v>36.47</v>
      </c>
      <c r="AK492" s="104">
        <v>72.94</v>
      </c>
      <c r="AL492" s="102">
        <v>51.64</v>
      </c>
      <c r="AM492" s="102"/>
      <c r="AN492" s="53">
        <f t="shared" si="245"/>
        <v>103.28</v>
      </c>
      <c r="AO492" s="53">
        <v>47.41</v>
      </c>
      <c r="AP492" s="102">
        <f t="shared" si="249"/>
        <v>10161</v>
      </c>
      <c r="AQ492" s="102">
        <f t="shared" si="250"/>
        <v>12.809005760964109</v>
      </c>
      <c r="AR492" s="102"/>
      <c r="AS492" s="102"/>
      <c r="AT492" s="102"/>
      <c r="AU492" s="102"/>
      <c r="AV492" s="102"/>
      <c r="AW492" s="102"/>
      <c r="AX492" s="102"/>
      <c r="AY492" s="102"/>
      <c r="AZ492" s="102"/>
      <c r="BA492" s="102"/>
      <c r="BB492" s="102"/>
      <c r="BC492" s="102"/>
      <c r="BD492" s="102"/>
      <c r="BE492" s="102"/>
      <c r="BF492" s="102"/>
      <c r="BG492" s="102"/>
      <c r="BH492" s="102"/>
      <c r="BI492" s="102"/>
      <c r="BJ492" s="102"/>
      <c r="BK492" s="102"/>
      <c r="BL492" s="102"/>
      <c r="BM492" s="102"/>
      <c r="BN492" s="102"/>
      <c r="BO492" s="102"/>
      <c r="BP492" s="102"/>
      <c r="BQ492" s="102"/>
      <c r="BR492" s="102"/>
      <c r="BS492" s="54" t="s">
        <v>35</v>
      </c>
      <c r="BT492" s="45" t="str">
        <f t="shared" si="237"/>
        <v>Yes</v>
      </c>
      <c r="BU492" s="45" t="str">
        <f t="shared" si="238"/>
        <v>Yes</v>
      </c>
      <c r="BV492" s="45" t="str">
        <f t="shared" si="239"/>
        <v>No</v>
      </c>
      <c r="BW492" s="105">
        <f t="shared" si="251"/>
        <v>68.946323615273826</v>
      </c>
      <c r="BX492" s="105"/>
      <c r="BY492" s="105">
        <v>67.016323615273834</v>
      </c>
      <c r="BZ492" s="105"/>
      <c r="CA492" s="45">
        <v>2012</v>
      </c>
      <c r="CB492" s="105">
        <f t="shared" si="246"/>
        <v>41.317801672640378</v>
      </c>
      <c r="CC492" s="46" t="s">
        <v>491</v>
      </c>
      <c r="CD492" s="46" t="s">
        <v>494</v>
      </c>
      <c r="CE492" s="46" t="s">
        <v>783</v>
      </c>
      <c r="CF492" s="46">
        <v>2</v>
      </c>
      <c r="CG492" s="46" t="str">
        <f t="shared" si="247"/>
        <v>No</v>
      </c>
      <c r="CH492" s="46" t="s">
        <v>35</v>
      </c>
      <c r="CI492" s="56">
        <v>0</v>
      </c>
      <c r="CJ492" s="46">
        <v>10</v>
      </c>
      <c r="CK492" s="46" t="s">
        <v>23</v>
      </c>
      <c r="CL492" s="49" t="s">
        <v>29</v>
      </c>
      <c r="CM492" s="102">
        <v>0</v>
      </c>
      <c r="CN492" s="102"/>
      <c r="CO492" s="102"/>
      <c r="CP492" s="46" t="s">
        <v>35</v>
      </c>
      <c r="CQ492" s="46" t="s">
        <v>24</v>
      </c>
      <c r="CR492" s="46">
        <v>7</v>
      </c>
      <c r="CS492" s="46" t="s">
        <v>854</v>
      </c>
      <c r="CT492" s="46" t="s">
        <v>53</v>
      </c>
      <c r="CU492" s="46" t="s">
        <v>29</v>
      </c>
      <c r="CV492" s="46" t="s">
        <v>23</v>
      </c>
      <c r="CW492" s="46" t="s">
        <v>23</v>
      </c>
      <c r="CX492" s="45" t="s">
        <v>421</v>
      </c>
      <c r="CY492" s="45" t="s">
        <v>919</v>
      </c>
      <c r="CZ492" s="49">
        <v>0</v>
      </c>
      <c r="DA492" s="49">
        <v>0</v>
      </c>
      <c r="DB492" s="64">
        <v>167400</v>
      </c>
      <c r="DC492" s="58">
        <v>31.658555066592836</v>
      </c>
      <c r="DD492" s="58">
        <v>13.044618657651618</v>
      </c>
      <c r="DE492" s="58">
        <v>30.428700492524701</v>
      </c>
      <c r="DF492" s="58">
        <v>20.505347827354065</v>
      </c>
      <c r="DG492" s="58">
        <v>4.3627779558767843</v>
      </c>
      <c r="DH492" s="58">
        <v>68.341444933407175</v>
      </c>
      <c r="DI492" s="45" t="s">
        <v>35</v>
      </c>
      <c r="DJ492" s="59" t="str">
        <f t="shared" si="248"/>
        <v>No single majority group</v>
      </c>
      <c r="DK492" s="65">
        <v>29459</v>
      </c>
      <c r="DL492" s="58">
        <v>46.75</v>
      </c>
      <c r="DM492" s="58">
        <v>7.31</v>
      </c>
      <c r="DN492" s="58">
        <v>26.11</v>
      </c>
      <c r="DO492" s="58">
        <v>53.25</v>
      </c>
      <c r="DP492" s="66">
        <v>52.15</v>
      </c>
      <c r="DQ492" s="67">
        <v>45347</v>
      </c>
      <c r="DR492" s="53">
        <v>25.8</v>
      </c>
      <c r="DS492" s="58">
        <v>66.900000000000006</v>
      </c>
      <c r="DT492" s="53">
        <v>49.6</v>
      </c>
      <c r="DU492" s="105">
        <v>3.19</v>
      </c>
      <c r="DV492" s="102">
        <v>31.2</v>
      </c>
      <c r="DW492" s="53">
        <v>74.900000000000006</v>
      </c>
      <c r="DX492" s="53">
        <v>91.23</v>
      </c>
      <c r="DY492" s="53">
        <v>60.732900000000001</v>
      </c>
      <c r="DZ492" s="63"/>
    </row>
    <row r="493" spans="1:130" ht="15.75" hidden="1" customHeight="1">
      <c r="A493" s="45">
        <v>1441</v>
      </c>
      <c r="B493" s="46" t="s">
        <v>406</v>
      </c>
      <c r="C493" s="47">
        <v>2012</v>
      </c>
      <c r="D493" s="47" t="s">
        <v>100</v>
      </c>
      <c r="E493" s="71" t="s">
        <v>101</v>
      </c>
      <c r="F493" s="46">
        <v>4</v>
      </c>
      <c r="G493" s="48">
        <v>23927</v>
      </c>
      <c r="H493" s="46" t="s">
        <v>332</v>
      </c>
      <c r="I493" s="46">
        <v>1</v>
      </c>
      <c r="J493" s="46">
        <v>2</v>
      </c>
      <c r="K493" s="49" t="s">
        <v>416</v>
      </c>
      <c r="L493" s="49" t="s">
        <v>30</v>
      </c>
      <c r="M493" s="49" t="s">
        <v>29</v>
      </c>
      <c r="N493" s="49" t="s">
        <v>618</v>
      </c>
      <c r="O493" s="49"/>
      <c r="P493" s="49" t="s">
        <v>201</v>
      </c>
      <c r="Q493" s="49" t="s">
        <v>35</v>
      </c>
      <c r="R493" s="49">
        <v>0</v>
      </c>
      <c r="S493" s="102">
        <f t="shared" si="241"/>
        <v>0</v>
      </c>
      <c r="T493" s="49">
        <v>1</v>
      </c>
      <c r="U493" s="102">
        <f t="shared" si="242"/>
        <v>50</v>
      </c>
      <c r="V493" s="49" t="s">
        <v>858</v>
      </c>
      <c r="W493" s="49">
        <v>0</v>
      </c>
      <c r="X493" s="102">
        <f t="shared" si="243"/>
        <v>0</v>
      </c>
      <c r="Y493" s="51" t="str">
        <f t="shared" si="244"/>
        <v>No</v>
      </c>
      <c r="Z493" s="49" t="s">
        <v>29</v>
      </c>
      <c r="AA493" s="49" t="s">
        <v>29</v>
      </c>
      <c r="AB493" s="49" t="s">
        <v>29</v>
      </c>
      <c r="AC493" s="46" t="s">
        <v>26</v>
      </c>
      <c r="AD493" s="46" t="s">
        <v>27</v>
      </c>
      <c r="AE493" s="46" t="s">
        <v>89</v>
      </c>
      <c r="AF493" s="46" t="s">
        <v>29</v>
      </c>
      <c r="AG493" s="103">
        <v>79327</v>
      </c>
      <c r="AH493" s="52">
        <v>3449</v>
      </c>
      <c r="AI493" s="52">
        <v>69464</v>
      </c>
      <c r="AJ493" s="102">
        <v>56.02</v>
      </c>
      <c r="AK493" s="104">
        <v>112.04</v>
      </c>
      <c r="AL493" s="102">
        <v>61.79</v>
      </c>
      <c r="AM493" s="102"/>
      <c r="AN493" s="53">
        <f t="shared" si="245"/>
        <v>123.58</v>
      </c>
      <c r="AO493" s="53">
        <v>43.52</v>
      </c>
      <c r="AP493" s="102">
        <f t="shared" si="249"/>
        <v>9863</v>
      </c>
      <c r="AQ493" s="102">
        <f t="shared" si="250"/>
        <v>12.433345519180103</v>
      </c>
      <c r="AR493" s="102"/>
      <c r="AS493" s="102"/>
      <c r="AT493" s="102"/>
      <c r="AU493" s="102"/>
      <c r="AV493" s="102"/>
      <c r="AW493" s="102"/>
      <c r="AX493" s="102"/>
      <c r="AY493" s="102"/>
      <c r="AZ493" s="102"/>
      <c r="BA493" s="102"/>
      <c r="BB493" s="102"/>
      <c r="BC493" s="102"/>
      <c r="BD493" s="102"/>
      <c r="BE493" s="102"/>
      <c r="BF493" s="102"/>
      <c r="BG493" s="102"/>
      <c r="BH493" s="102"/>
      <c r="BI493" s="102"/>
      <c r="BJ493" s="102"/>
      <c r="BK493" s="102"/>
      <c r="BL493" s="102"/>
      <c r="BM493" s="102"/>
      <c r="BN493" s="102"/>
      <c r="BO493" s="102"/>
      <c r="BP493" s="102"/>
      <c r="BQ493" s="102"/>
      <c r="BR493" s="102"/>
      <c r="BS493" s="54" t="s">
        <v>29</v>
      </c>
      <c r="BT493" s="45" t="str">
        <f t="shared" si="237"/>
        <v>Yes</v>
      </c>
      <c r="BU493" s="45" t="str">
        <f t="shared" si="238"/>
        <v>Yes</v>
      </c>
      <c r="BV493" s="45" t="str">
        <f t="shared" si="239"/>
        <v>No</v>
      </c>
      <c r="BW493" s="105">
        <f t="shared" si="251"/>
        <v>68.946323615273826</v>
      </c>
      <c r="BX493" s="105"/>
      <c r="BY493" s="105">
        <v>67.016323615273834</v>
      </c>
      <c r="BZ493" s="105"/>
      <c r="CA493" s="45">
        <v>2012</v>
      </c>
      <c r="CB493" s="105">
        <f t="shared" si="246"/>
        <v>41.495818399044204</v>
      </c>
      <c r="CC493" s="46" t="s">
        <v>491</v>
      </c>
      <c r="CD493" s="46" t="s">
        <v>494</v>
      </c>
      <c r="CE493" s="46" t="s">
        <v>783</v>
      </c>
      <c r="CF493" s="46">
        <v>2</v>
      </c>
      <c r="CG493" s="46" t="str">
        <f t="shared" si="247"/>
        <v>No</v>
      </c>
      <c r="CH493" s="46" t="s">
        <v>35</v>
      </c>
      <c r="CI493" s="56">
        <v>0</v>
      </c>
      <c r="CJ493" s="46">
        <v>10</v>
      </c>
      <c r="CK493" s="46" t="s">
        <v>23</v>
      </c>
      <c r="CL493" s="49" t="s">
        <v>29</v>
      </c>
      <c r="CM493" s="102">
        <v>0</v>
      </c>
      <c r="CN493" s="102"/>
      <c r="CO493" s="102"/>
      <c r="CP493" s="46" t="s">
        <v>35</v>
      </c>
      <c r="CQ493" s="46" t="s">
        <v>24</v>
      </c>
      <c r="CR493" s="46">
        <v>7</v>
      </c>
      <c r="CS493" s="46" t="s">
        <v>854</v>
      </c>
      <c r="CT493" s="46" t="s">
        <v>53</v>
      </c>
      <c r="CU493" s="46" t="s">
        <v>29</v>
      </c>
      <c r="CV493" s="46" t="s">
        <v>23</v>
      </c>
      <c r="CW493" s="46" t="s">
        <v>23</v>
      </c>
      <c r="CX493" s="45" t="s">
        <v>421</v>
      </c>
      <c r="CY493" s="45" t="s">
        <v>919</v>
      </c>
      <c r="CZ493" s="49">
        <v>0</v>
      </c>
      <c r="DA493" s="49">
        <v>0</v>
      </c>
      <c r="DB493" s="64">
        <v>167400</v>
      </c>
      <c r="DC493" s="58">
        <v>31.658555066592836</v>
      </c>
      <c r="DD493" s="58">
        <v>13.044618657651618</v>
      </c>
      <c r="DE493" s="58">
        <v>30.428700492524701</v>
      </c>
      <c r="DF493" s="58">
        <v>20.505347827354065</v>
      </c>
      <c r="DG493" s="58">
        <v>4.3627779558767843</v>
      </c>
      <c r="DH493" s="58">
        <v>68.341444933407175</v>
      </c>
      <c r="DI493" s="45" t="s">
        <v>35</v>
      </c>
      <c r="DJ493" s="59" t="str">
        <f t="shared" si="248"/>
        <v>No single majority group</v>
      </c>
      <c r="DK493" s="65">
        <v>27659</v>
      </c>
      <c r="DL493" s="58">
        <v>17.190000000000001</v>
      </c>
      <c r="DM493" s="58">
        <v>18.93</v>
      </c>
      <c r="DN493" s="58">
        <v>41.5</v>
      </c>
      <c r="DO493" s="58">
        <v>82.81</v>
      </c>
      <c r="DP493" s="66">
        <v>52.15</v>
      </c>
      <c r="DQ493" s="67">
        <v>45347</v>
      </c>
      <c r="DR493" s="53">
        <v>25.8</v>
      </c>
      <c r="DS493" s="58">
        <v>66.900000000000006</v>
      </c>
      <c r="DT493" s="53">
        <v>49.6</v>
      </c>
      <c r="DU493" s="105">
        <v>3.19</v>
      </c>
      <c r="DV493" s="102">
        <v>31.2</v>
      </c>
      <c r="DW493" s="53">
        <v>74.900000000000006</v>
      </c>
      <c r="DX493" s="53">
        <v>91.23</v>
      </c>
      <c r="DY493" s="53">
        <v>60.732900000000001</v>
      </c>
      <c r="DZ493" s="63"/>
    </row>
    <row r="494" spans="1:130" ht="15.75" hidden="1" customHeight="1">
      <c r="A494" s="45">
        <v>1438</v>
      </c>
      <c r="B494" s="46" t="s">
        <v>406</v>
      </c>
      <c r="C494" s="47">
        <v>2012</v>
      </c>
      <c r="D494" s="47" t="s">
        <v>38</v>
      </c>
      <c r="E494" s="46" t="s">
        <v>22</v>
      </c>
      <c r="F494" s="46">
        <v>4</v>
      </c>
      <c r="G494" s="48">
        <v>103000</v>
      </c>
      <c r="H494" s="46" t="s">
        <v>249</v>
      </c>
      <c r="I494" s="46">
        <v>1</v>
      </c>
      <c r="J494" s="46">
        <v>7</v>
      </c>
      <c r="K494" s="49" t="s">
        <v>413</v>
      </c>
      <c r="L494" s="49" t="s">
        <v>30</v>
      </c>
      <c r="M494" s="49" t="s">
        <v>29</v>
      </c>
      <c r="N494" s="49" t="s">
        <v>618</v>
      </c>
      <c r="O494" s="49"/>
      <c r="P494" s="49" t="s">
        <v>31</v>
      </c>
      <c r="Q494" s="49" t="s">
        <v>29</v>
      </c>
      <c r="R494" s="49">
        <v>1</v>
      </c>
      <c r="S494" s="102">
        <f t="shared" si="241"/>
        <v>14.285714285714285</v>
      </c>
      <c r="T494" s="49">
        <v>1</v>
      </c>
      <c r="U494" s="102">
        <f t="shared" si="242"/>
        <v>14.285714285714285</v>
      </c>
      <c r="V494" s="49" t="s">
        <v>858</v>
      </c>
      <c r="W494" s="49">
        <v>0</v>
      </c>
      <c r="X494" s="102">
        <f t="shared" si="243"/>
        <v>0</v>
      </c>
      <c r="Y494" s="51" t="str">
        <f t="shared" si="244"/>
        <v>No</v>
      </c>
      <c r="Z494" s="49" t="s">
        <v>29</v>
      </c>
      <c r="AA494" s="49" t="s">
        <v>29</v>
      </c>
      <c r="AB494" s="45" t="s">
        <v>35</v>
      </c>
      <c r="AC494" s="46" t="s">
        <v>26</v>
      </c>
      <c r="AD494" s="46" t="s">
        <v>27</v>
      </c>
      <c r="AE494" s="46" t="s">
        <v>89</v>
      </c>
      <c r="AF494" s="46" t="s">
        <v>29</v>
      </c>
      <c r="AG494" s="103">
        <v>79327</v>
      </c>
      <c r="AH494" s="52">
        <v>33908</v>
      </c>
      <c r="AI494" s="52">
        <v>74254</v>
      </c>
      <c r="AJ494" s="102">
        <v>21.42</v>
      </c>
      <c r="AK494" s="104">
        <v>42.84</v>
      </c>
      <c r="AL494" s="102">
        <v>59.24</v>
      </c>
      <c r="AM494" s="102"/>
      <c r="AN494" s="53">
        <f t="shared" si="245"/>
        <v>118.48</v>
      </c>
      <c r="AO494" s="53">
        <v>40.79</v>
      </c>
      <c r="AP494" s="102">
        <f t="shared" si="249"/>
        <v>5073</v>
      </c>
      <c r="AQ494" s="102">
        <f t="shared" si="250"/>
        <v>6.395048344195545</v>
      </c>
      <c r="AR494" s="102"/>
      <c r="AS494" s="102"/>
      <c r="AT494" s="102"/>
      <c r="AU494" s="102"/>
      <c r="AV494" s="102"/>
      <c r="AW494" s="102"/>
      <c r="AX494" s="102"/>
      <c r="AY494" s="102"/>
      <c r="AZ494" s="102"/>
      <c r="BA494" s="102"/>
      <c r="BB494" s="102"/>
      <c r="BC494" s="102"/>
      <c r="BD494" s="102"/>
      <c r="BE494" s="102"/>
      <c r="BF494" s="102"/>
      <c r="BG494" s="102"/>
      <c r="BH494" s="102"/>
      <c r="BI494" s="102"/>
      <c r="BJ494" s="102"/>
      <c r="BK494" s="102"/>
      <c r="BL494" s="102"/>
      <c r="BM494" s="102"/>
      <c r="BN494" s="102"/>
      <c r="BO494" s="102"/>
      <c r="BP494" s="102"/>
      <c r="BQ494" s="102"/>
      <c r="BR494" s="102"/>
      <c r="BS494" s="54" t="s">
        <v>35</v>
      </c>
      <c r="BT494" s="45" t="str">
        <f t="shared" si="237"/>
        <v>Yes</v>
      </c>
      <c r="BU494" s="45" t="str">
        <f t="shared" si="238"/>
        <v>Yes</v>
      </c>
      <c r="BV494" s="45" t="str">
        <f t="shared" si="239"/>
        <v>No</v>
      </c>
      <c r="BW494" s="105">
        <f t="shared" si="251"/>
        <v>68.946323615273826</v>
      </c>
      <c r="BX494" s="105">
        <f>(53139/(53139+23934))*100</f>
        <v>68.946323615273826</v>
      </c>
      <c r="BY494" s="105">
        <v>67.016323615273834</v>
      </c>
      <c r="BZ494" s="105">
        <f>BX494-(0.0386*100/2)</f>
        <v>67.016323615273819</v>
      </c>
      <c r="CA494" s="45">
        <v>2012</v>
      </c>
      <c r="CB494" s="105">
        <f t="shared" si="246"/>
        <v>44.357228195937878</v>
      </c>
      <c r="CC494" s="46" t="s">
        <v>491</v>
      </c>
      <c r="CD494" s="46" t="s">
        <v>494</v>
      </c>
      <c r="CE494" s="46" t="s">
        <v>783</v>
      </c>
      <c r="CF494" s="46">
        <v>2</v>
      </c>
      <c r="CG494" s="46" t="str">
        <f t="shared" si="247"/>
        <v>No</v>
      </c>
      <c r="CH494" s="46" t="s">
        <v>35</v>
      </c>
      <c r="CI494" s="56">
        <v>0</v>
      </c>
      <c r="CJ494" s="46">
        <v>10</v>
      </c>
      <c r="CK494" s="46" t="s">
        <v>23</v>
      </c>
      <c r="CL494" s="49" t="s">
        <v>29</v>
      </c>
      <c r="CM494" s="102">
        <v>0</v>
      </c>
      <c r="CN494" s="102">
        <v>229847.40460000001</v>
      </c>
      <c r="CO494" s="102" t="s">
        <v>29</v>
      </c>
      <c r="CP494" s="46" t="s">
        <v>23</v>
      </c>
      <c r="CQ494" s="46" t="s">
        <v>23</v>
      </c>
      <c r="CR494" s="46">
        <v>7</v>
      </c>
      <c r="CS494" s="46" t="s">
        <v>854</v>
      </c>
      <c r="CT494" s="46" t="s">
        <v>53</v>
      </c>
      <c r="CU494" s="46" t="s">
        <v>29</v>
      </c>
      <c r="CV494" s="46" t="s">
        <v>23</v>
      </c>
      <c r="CW494" s="46" t="s">
        <v>23</v>
      </c>
      <c r="CX494" s="45" t="s">
        <v>421</v>
      </c>
      <c r="CY494" s="45" t="s">
        <v>919</v>
      </c>
      <c r="CZ494" s="49">
        <v>0</v>
      </c>
      <c r="DA494" s="49">
        <v>0</v>
      </c>
      <c r="DB494" s="64">
        <v>167400</v>
      </c>
      <c r="DC494" s="58">
        <v>31.658555066592836</v>
      </c>
      <c r="DD494" s="58">
        <v>13.044618657651618</v>
      </c>
      <c r="DE494" s="58">
        <v>30.428700492524701</v>
      </c>
      <c r="DF494" s="58">
        <v>20.505347827354065</v>
      </c>
      <c r="DG494" s="58">
        <v>4.3627779558767843</v>
      </c>
      <c r="DH494" s="58">
        <v>68.341444933407175</v>
      </c>
      <c r="DI494" s="45" t="s">
        <v>35</v>
      </c>
      <c r="DJ494" s="59" t="str">
        <f t="shared" si="248"/>
        <v>No single majority group</v>
      </c>
      <c r="DK494" s="65">
        <v>167400</v>
      </c>
      <c r="DL494" s="58">
        <v>31.658555066592836</v>
      </c>
      <c r="DM494" s="58">
        <v>13.044618657651618</v>
      </c>
      <c r="DN494" s="58">
        <v>30.428700492524701</v>
      </c>
      <c r="DO494" s="58">
        <v>68.341444933407175</v>
      </c>
      <c r="DP494" s="66">
        <v>52.15</v>
      </c>
      <c r="DQ494" s="67">
        <v>45347</v>
      </c>
      <c r="DR494" s="53">
        <v>25.8</v>
      </c>
      <c r="DS494" s="58">
        <v>66.900000000000006</v>
      </c>
      <c r="DT494" s="53">
        <v>49.6</v>
      </c>
      <c r="DU494" s="105">
        <v>3.19</v>
      </c>
      <c r="DV494" s="102">
        <v>31.2</v>
      </c>
      <c r="DW494" s="53">
        <v>74.900000000000006</v>
      </c>
      <c r="DX494" s="53">
        <v>91.23</v>
      </c>
      <c r="DY494" s="53">
        <v>60.732900000000001</v>
      </c>
      <c r="DZ494" s="63"/>
    </row>
    <row r="495" spans="1:130" ht="15.75" hidden="1" customHeight="1">
      <c r="A495" s="45">
        <v>1435</v>
      </c>
      <c r="B495" s="46" t="s">
        <v>406</v>
      </c>
      <c r="C495" s="47">
        <v>2014</v>
      </c>
      <c r="D495" s="47" t="s">
        <v>76</v>
      </c>
      <c r="E495" s="46" t="s">
        <v>77</v>
      </c>
      <c r="F495" s="46">
        <v>4</v>
      </c>
      <c r="G495" s="48">
        <v>23927</v>
      </c>
      <c r="H495" s="46" t="s">
        <v>332</v>
      </c>
      <c r="I495" s="46">
        <v>1</v>
      </c>
      <c r="J495" s="46">
        <v>2</v>
      </c>
      <c r="K495" s="49" t="s">
        <v>408</v>
      </c>
      <c r="L495" s="49" t="s">
        <v>30</v>
      </c>
      <c r="M495" s="49" t="s">
        <v>29</v>
      </c>
      <c r="N495" s="49" t="s">
        <v>513</v>
      </c>
      <c r="O495" s="49">
        <v>2010</v>
      </c>
      <c r="P495" s="49" t="s">
        <v>201</v>
      </c>
      <c r="Q495" s="49" t="s">
        <v>35</v>
      </c>
      <c r="R495" s="49">
        <v>0</v>
      </c>
      <c r="S495" s="102">
        <f t="shared" si="241"/>
        <v>0</v>
      </c>
      <c r="T495" s="49">
        <v>2</v>
      </c>
      <c r="U495" s="102">
        <f t="shared" si="242"/>
        <v>100</v>
      </c>
      <c r="V495" s="49" t="s">
        <v>891</v>
      </c>
      <c r="W495" s="49">
        <v>0</v>
      </c>
      <c r="X495" s="102">
        <f t="shared" si="243"/>
        <v>0</v>
      </c>
      <c r="Y495" s="51" t="str">
        <f t="shared" si="244"/>
        <v>No</v>
      </c>
      <c r="Z495" s="49" t="s">
        <v>29</v>
      </c>
      <c r="AA495" s="49" t="s">
        <v>35</v>
      </c>
      <c r="AB495" s="49" t="s">
        <v>29</v>
      </c>
      <c r="AC495" s="46" t="s">
        <v>26</v>
      </c>
      <c r="AD495" s="46" t="s">
        <v>27</v>
      </c>
      <c r="AE495" s="46" t="s">
        <v>73</v>
      </c>
      <c r="AF495" s="46" t="s">
        <v>29</v>
      </c>
      <c r="AG495" s="103">
        <v>41538</v>
      </c>
      <c r="AH495" s="52">
        <v>5510</v>
      </c>
      <c r="AI495" s="52">
        <v>37347</v>
      </c>
      <c r="AJ495" s="102">
        <v>57.33</v>
      </c>
      <c r="AK495" s="104">
        <v>114.66</v>
      </c>
      <c r="AL495" s="102">
        <v>54.88</v>
      </c>
      <c r="AM495" s="102"/>
      <c r="AN495" s="53">
        <f t="shared" si="245"/>
        <v>109.76</v>
      </c>
      <c r="AO495" s="53">
        <v>42.27</v>
      </c>
      <c r="AP495" s="102">
        <f t="shared" si="249"/>
        <v>4191</v>
      </c>
      <c r="AQ495" s="102">
        <f t="shared" si="250"/>
        <v>10.089556550628339</v>
      </c>
      <c r="AR495" s="102"/>
      <c r="AS495" s="102"/>
      <c r="AT495" s="102"/>
      <c r="AU495" s="102"/>
      <c r="AV495" s="102"/>
      <c r="AW495" s="102"/>
      <c r="AX495" s="102"/>
      <c r="AY495" s="102"/>
      <c r="AZ495" s="102"/>
      <c r="BA495" s="102"/>
      <c r="BB495" s="102"/>
      <c r="BC495" s="102"/>
      <c r="BD495" s="102"/>
      <c r="BE495" s="102"/>
      <c r="BF495" s="102"/>
      <c r="BG495" s="102"/>
      <c r="BH495" s="102"/>
      <c r="BI495" s="102"/>
      <c r="BJ495" s="102"/>
      <c r="BK495" s="102"/>
      <c r="BL495" s="102"/>
      <c r="BM495" s="102"/>
      <c r="BN495" s="102"/>
      <c r="BO495" s="102"/>
      <c r="BP495" s="102"/>
      <c r="BQ495" s="102"/>
      <c r="BR495" s="102"/>
      <c r="BS495" s="54" t="s">
        <v>29</v>
      </c>
      <c r="BT495" s="45" t="str">
        <f t="shared" si="237"/>
        <v>Yes</v>
      </c>
      <c r="BU495" s="45" t="str">
        <f t="shared" si="238"/>
        <v>Yes</v>
      </c>
      <c r="BV495" s="45" t="str">
        <f t="shared" si="239"/>
        <v>No</v>
      </c>
      <c r="BW495" s="105">
        <f t="shared" si="251"/>
        <v>68.946323615273826</v>
      </c>
      <c r="BX495" s="105"/>
      <c r="BY495" s="105">
        <v>67.016323615273834</v>
      </c>
      <c r="BZ495" s="105"/>
      <c r="CA495" s="45">
        <v>2012</v>
      </c>
      <c r="CB495" s="105">
        <f t="shared" si="246"/>
        <v>22.310035842293907</v>
      </c>
      <c r="CC495" s="46" t="s">
        <v>491</v>
      </c>
      <c r="CD495" s="46" t="s">
        <v>494</v>
      </c>
      <c r="CE495" s="46" t="s">
        <v>783</v>
      </c>
      <c r="CF495" s="46">
        <v>2</v>
      </c>
      <c r="CG495" s="46" t="str">
        <f t="shared" si="247"/>
        <v>No</v>
      </c>
      <c r="CH495" s="46" t="s">
        <v>35</v>
      </c>
      <c r="CI495" s="56">
        <v>0</v>
      </c>
      <c r="CJ495" s="46">
        <v>10</v>
      </c>
      <c r="CK495" s="46" t="s">
        <v>23</v>
      </c>
      <c r="CL495" s="49" t="s">
        <v>29</v>
      </c>
      <c r="CM495" s="102">
        <v>0</v>
      </c>
      <c r="CN495" s="102"/>
      <c r="CO495" s="102"/>
      <c r="CP495" s="46" t="s">
        <v>35</v>
      </c>
      <c r="CQ495" s="46" t="s">
        <v>24</v>
      </c>
      <c r="CR495" s="46">
        <v>7</v>
      </c>
      <c r="CS495" s="46" t="s">
        <v>854</v>
      </c>
      <c r="CT495" s="46" t="s">
        <v>53</v>
      </c>
      <c r="CU495" s="46" t="s">
        <v>29</v>
      </c>
      <c r="CV495" s="46" t="s">
        <v>23</v>
      </c>
      <c r="CW495" s="46" t="s">
        <v>23</v>
      </c>
      <c r="CX495" s="49" t="s">
        <v>409</v>
      </c>
      <c r="CY495" s="49" t="s">
        <v>410</v>
      </c>
      <c r="CZ495" s="49">
        <v>1</v>
      </c>
      <c r="DA495" s="49">
        <v>1</v>
      </c>
      <c r="DB495" s="64">
        <v>167400</v>
      </c>
      <c r="DC495" s="58">
        <v>31.658555066592836</v>
      </c>
      <c r="DD495" s="58">
        <v>13.044618657651618</v>
      </c>
      <c r="DE495" s="58">
        <v>30.428700492524701</v>
      </c>
      <c r="DF495" s="58">
        <v>20.505347827354065</v>
      </c>
      <c r="DG495" s="58">
        <v>4.3627779558767843</v>
      </c>
      <c r="DH495" s="58">
        <v>68.341444933407175</v>
      </c>
      <c r="DI495" s="45" t="s">
        <v>35</v>
      </c>
      <c r="DJ495" s="59" t="str">
        <f t="shared" si="248"/>
        <v>No single majority group</v>
      </c>
      <c r="DK495" s="65">
        <v>27028</v>
      </c>
      <c r="DL495" s="58">
        <v>38.53</v>
      </c>
      <c r="DM495" s="58">
        <v>10.63</v>
      </c>
      <c r="DN495" s="58">
        <v>21.240000000000002</v>
      </c>
      <c r="DO495" s="58">
        <v>61.47</v>
      </c>
      <c r="DP495" s="66">
        <v>52.15</v>
      </c>
      <c r="DQ495" s="67">
        <v>45347</v>
      </c>
      <c r="DR495" s="53">
        <v>25.8</v>
      </c>
      <c r="DS495" s="58">
        <v>66.900000000000006</v>
      </c>
      <c r="DT495" s="53">
        <v>49.6</v>
      </c>
      <c r="DU495" s="105">
        <v>3.19</v>
      </c>
      <c r="DV495" s="102">
        <v>31.2</v>
      </c>
      <c r="DW495" s="53">
        <v>74.900000000000006</v>
      </c>
      <c r="DX495" s="53">
        <v>91.23</v>
      </c>
      <c r="DY495" s="53">
        <v>60.732900000000001</v>
      </c>
      <c r="DZ495" s="63"/>
    </row>
    <row r="496" spans="1:130" ht="15.75" hidden="1" customHeight="1">
      <c r="A496" s="45">
        <v>1436</v>
      </c>
      <c r="B496" s="46" t="s">
        <v>406</v>
      </c>
      <c r="C496" s="47">
        <v>2014</v>
      </c>
      <c r="D496" s="47" t="s">
        <v>94</v>
      </c>
      <c r="E496" s="46" t="s">
        <v>95</v>
      </c>
      <c r="F496" s="46">
        <v>4</v>
      </c>
      <c r="G496" s="48">
        <v>23927</v>
      </c>
      <c r="H496" s="46" t="s">
        <v>332</v>
      </c>
      <c r="I496" s="46">
        <v>1</v>
      </c>
      <c r="J496" s="46">
        <v>3</v>
      </c>
      <c r="K496" s="49" t="s">
        <v>411</v>
      </c>
      <c r="L496" s="49" t="s">
        <v>40</v>
      </c>
      <c r="M496" s="49" t="s">
        <v>35</v>
      </c>
      <c r="N496" s="49" t="s">
        <v>512</v>
      </c>
      <c r="O496" s="49">
        <v>2014</v>
      </c>
      <c r="P496" s="49" t="s">
        <v>31</v>
      </c>
      <c r="Q496" s="49" t="s">
        <v>29</v>
      </c>
      <c r="R496" s="49">
        <v>1</v>
      </c>
      <c r="S496" s="102">
        <f t="shared" si="241"/>
        <v>33.333333333333329</v>
      </c>
      <c r="T496" s="49">
        <v>2</v>
      </c>
      <c r="U496" s="102">
        <f t="shared" si="242"/>
        <v>66.666666666666657</v>
      </c>
      <c r="V496" s="49" t="s">
        <v>794</v>
      </c>
      <c r="W496" s="49">
        <v>0</v>
      </c>
      <c r="X496" s="102">
        <f t="shared" si="243"/>
        <v>0</v>
      </c>
      <c r="Y496" s="51" t="str">
        <f t="shared" si="244"/>
        <v>No</v>
      </c>
      <c r="Z496" s="49" t="s">
        <v>35</v>
      </c>
      <c r="AA496" s="49" t="s">
        <v>23</v>
      </c>
      <c r="AB496" s="49" t="s">
        <v>23</v>
      </c>
      <c r="AC496" s="46" t="s">
        <v>26</v>
      </c>
      <c r="AD496" s="46" t="s">
        <v>27</v>
      </c>
      <c r="AE496" s="46" t="s">
        <v>73</v>
      </c>
      <c r="AF496" s="46" t="s">
        <v>29</v>
      </c>
      <c r="AG496" s="120">
        <v>41538</v>
      </c>
      <c r="AH496" s="52">
        <v>5797</v>
      </c>
      <c r="AI496" s="52">
        <v>36702</v>
      </c>
      <c r="AJ496" s="102">
        <v>56.94</v>
      </c>
      <c r="AK496" s="104">
        <v>113.88</v>
      </c>
      <c r="AL496" s="102">
        <v>64.8</v>
      </c>
      <c r="AM496" s="102"/>
      <c r="AN496" s="53">
        <f t="shared" si="245"/>
        <v>129.6</v>
      </c>
      <c r="AO496" s="53">
        <v>27.15</v>
      </c>
      <c r="AP496" s="102">
        <f t="shared" si="249"/>
        <v>4836</v>
      </c>
      <c r="AQ496" s="102">
        <f t="shared" si="250"/>
        <v>11.64235158168424</v>
      </c>
      <c r="AR496" s="102"/>
      <c r="AS496" s="102"/>
      <c r="AT496" s="102"/>
      <c r="AU496" s="102"/>
      <c r="AV496" s="102"/>
      <c r="AW496" s="102"/>
      <c r="AX496" s="102"/>
      <c r="AY496" s="102"/>
      <c r="AZ496" s="102"/>
      <c r="BA496" s="102"/>
      <c r="BB496" s="102"/>
      <c r="BC496" s="102"/>
      <c r="BD496" s="102"/>
      <c r="BE496" s="102"/>
      <c r="BF496" s="102"/>
      <c r="BG496" s="102"/>
      <c r="BH496" s="102"/>
      <c r="BI496" s="102"/>
      <c r="BJ496" s="102"/>
      <c r="BK496" s="102"/>
      <c r="BL496" s="102"/>
      <c r="BM496" s="102"/>
      <c r="BN496" s="102"/>
      <c r="BO496" s="102"/>
      <c r="BP496" s="102"/>
      <c r="BQ496" s="102"/>
      <c r="BR496" s="102"/>
      <c r="BS496" s="54" t="s">
        <v>29</v>
      </c>
      <c r="BT496" s="45" t="str">
        <f t="shared" si="237"/>
        <v>No</v>
      </c>
      <c r="BU496" s="45" t="str">
        <f t="shared" si="238"/>
        <v>No</v>
      </c>
      <c r="BV496" s="45" t="str">
        <f t="shared" si="239"/>
        <v>No</v>
      </c>
      <c r="BW496" s="105">
        <f t="shared" si="251"/>
        <v>68.946323615273826</v>
      </c>
      <c r="BX496" s="105"/>
      <c r="BY496" s="105">
        <v>67.016323615273834</v>
      </c>
      <c r="BZ496" s="105"/>
      <c r="CA496" s="45">
        <v>2012</v>
      </c>
      <c r="CB496" s="105">
        <f t="shared" si="246"/>
        <v>21.924731182795696</v>
      </c>
      <c r="CC496" s="46" t="s">
        <v>491</v>
      </c>
      <c r="CD496" s="46" t="s">
        <v>494</v>
      </c>
      <c r="CE496" s="46" t="s">
        <v>783</v>
      </c>
      <c r="CF496" s="46">
        <v>2</v>
      </c>
      <c r="CG496" s="46" t="str">
        <f t="shared" si="247"/>
        <v>No</v>
      </c>
      <c r="CH496" s="46" t="s">
        <v>35</v>
      </c>
      <c r="CI496" s="56">
        <v>0</v>
      </c>
      <c r="CJ496" s="46">
        <v>10</v>
      </c>
      <c r="CK496" s="46" t="s">
        <v>23</v>
      </c>
      <c r="CL496" s="49" t="s">
        <v>29</v>
      </c>
      <c r="CM496" s="102">
        <v>0</v>
      </c>
      <c r="CN496" s="102"/>
      <c r="CO496" s="102"/>
      <c r="CP496" s="46" t="s">
        <v>35</v>
      </c>
      <c r="CQ496" s="46" t="s">
        <v>24</v>
      </c>
      <c r="CR496" s="46">
        <v>7</v>
      </c>
      <c r="CS496" s="46" t="s">
        <v>854</v>
      </c>
      <c r="CT496" s="46" t="s">
        <v>53</v>
      </c>
      <c r="CU496" s="46" t="s">
        <v>29</v>
      </c>
      <c r="CV496" s="46" t="s">
        <v>23</v>
      </c>
      <c r="CW496" s="46" t="s">
        <v>23</v>
      </c>
      <c r="CX496" s="49" t="s">
        <v>409</v>
      </c>
      <c r="CY496" s="49" t="s">
        <v>410</v>
      </c>
      <c r="CZ496" s="49">
        <v>1</v>
      </c>
      <c r="DA496" s="49">
        <v>1</v>
      </c>
      <c r="DB496" s="64">
        <v>167400</v>
      </c>
      <c r="DC496" s="58">
        <v>31.658555066592836</v>
      </c>
      <c r="DD496" s="58">
        <v>13.044618657651618</v>
      </c>
      <c r="DE496" s="58">
        <v>30.428700492524701</v>
      </c>
      <c r="DF496" s="58">
        <v>20.505347827354065</v>
      </c>
      <c r="DG496" s="58">
        <v>4.3627779558767843</v>
      </c>
      <c r="DH496" s="58">
        <v>68.341444933407175</v>
      </c>
      <c r="DI496" s="45" t="s">
        <v>35</v>
      </c>
      <c r="DJ496" s="59" t="str">
        <f t="shared" si="248"/>
        <v>No single majority group</v>
      </c>
      <c r="DK496" s="65">
        <v>25652</v>
      </c>
      <c r="DL496" s="58">
        <v>40.550000000000004</v>
      </c>
      <c r="DM496" s="58">
        <v>9.6</v>
      </c>
      <c r="DN496" s="58">
        <v>28.08</v>
      </c>
      <c r="DO496" s="58">
        <v>59.45</v>
      </c>
      <c r="DP496" s="66">
        <v>52.15</v>
      </c>
      <c r="DQ496" s="67">
        <v>45347</v>
      </c>
      <c r="DR496" s="53">
        <v>25.8</v>
      </c>
      <c r="DS496" s="58">
        <v>66.900000000000006</v>
      </c>
      <c r="DT496" s="53">
        <v>49.6</v>
      </c>
      <c r="DU496" s="105">
        <v>3.19</v>
      </c>
      <c r="DV496" s="102">
        <v>31.2</v>
      </c>
      <c r="DW496" s="53">
        <v>74.900000000000006</v>
      </c>
      <c r="DX496" s="53">
        <v>91.23</v>
      </c>
      <c r="DY496" s="53">
        <v>60.732900000000001</v>
      </c>
      <c r="DZ496" s="63"/>
    </row>
    <row r="497" spans="1:130" ht="15.75" hidden="1" customHeight="1">
      <c r="A497" s="45">
        <v>1437</v>
      </c>
      <c r="B497" s="46" t="s">
        <v>406</v>
      </c>
      <c r="C497" s="47">
        <v>2014</v>
      </c>
      <c r="D497" s="47" t="s">
        <v>97</v>
      </c>
      <c r="E497" s="46" t="s">
        <v>98</v>
      </c>
      <c r="F497" s="46">
        <v>4</v>
      </c>
      <c r="G497" s="48">
        <v>23927</v>
      </c>
      <c r="H497" s="46" t="s">
        <v>332</v>
      </c>
      <c r="I497" s="46">
        <v>1</v>
      </c>
      <c r="J497" s="46">
        <v>3</v>
      </c>
      <c r="K497" s="49" t="s">
        <v>412</v>
      </c>
      <c r="L497" s="49" t="s">
        <v>40</v>
      </c>
      <c r="M497" s="49" t="s">
        <v>35</v>
      </c>
      <c r="N497" s="49" t="s">
        <v>512</v>
      </c>
      <c r="O497" s="49">
        <v>2014</v>
      </c>
      <c r="P497" s="49" t="s">
        <v>31</v>
      </c>
      <c r="Q497" s="49" t="s">
        <v>29</v>
      </c>
      <c r="R497" s="49">
        <v>2</v>
      </c>
      <c r="S497" s="102">
        <f t="shared" si="241"/>
        <v>66.666666666666657</v>
      </c>
      <c r="T497" s="49">
        <v>0</v>
      </c>
      <c r="U497" s="102">
        <f t="shared" si="242"/>
        <v>0</v>
      </c>
      <c r="V497" s="45"/>
      <c r="W497" s="49">
        <v>0</v>
      </c>
      <c r="X497" s="102">
        <f t="shared" si="243"/>
        <v>0</v>
      </c>
      <c r="Y497" s="51" t="str">
        <f t="shared" si="244"/>
        <v>No</v>
      </c>
      <c r="Z497" s="49" t="s">
        <v>35</v>
      </c>
      <c r="AA497" s="49" t="s">
        <v>23</v>
      </c>
      <c r="AB497" s="49" t="s">
        <v>23</v>
      </c>
      <c r="AC497" s="46" t="s">
        <v>26</v>
      </c>
      <c r="AD497" s="46" t="s">
        <v>27</v>
      </c>
      <c r="AE497" s="46" t="s">
        <v>73</v>
      </c>
      <c r="AF497" s="46" t="s">
        <v>29</v>
      </c>
      <c r="AG497" s="103">
        <v>41538</v>
      </c>
      <c r="AH497" s="52">
        <v>2999</v>
      </c>
      <c r="AI497" s="52">
        <v>37225</v>
      </c>
      <c r="AJ497" s="113">
        <v>35.85</v>
      </c>
      <c r="AK497" s="104">
        <v>71.7</v>
      </c>
      <c r="AL497" s="102">
        <v>54.15</v>
      </c>
      <c r="AM497" s="102"/>
      <c r="AN497" s="53">
        <f t="shared" si="245"/>
        <v>108.3</v>
      </c>
      <c r="AO497" s="53">
        <v>42.08</v>
      </c>
      <c r="AP497" s="102">
        <f t="shared" si="249"/>
        <v>4313</v>
      </c>
      <c r="AQ497" s="102">
        <f t="shared" si="250"/>
        <v>10.38326351774279</v>
      </c>
      <c r="AR497" s="102"/>
      <c r="AS497" s="102"/>
      <c r="AT497" s="102"/>
      <c r="AU497" s="102"/>
      <c r="AV497" s="102"/>
      <c r="AW497" s="102"/>
      <c r="AX497" s="102"/>
      <c r="AY497" s="102"/>
      <c r="AZ497" s="102"/>
      <c r="BA497" s="102"/>
      <c r="BB497" s="102"/>
      <c r="BC497" s="102"/>
      <c r="BD497" s="102"/>
      <c r="BE497" s="102"/>
      <c r="BF497" s="102"/>
      <c r="BG497" s="102"/>
      <c r="BH497" s="102"/>
      <c r="BI497" s="102"/>
      <c r="BJ497" s="102"/>
      <c r="BK497" s="102"/>
      <c r="BL497" s="102"/>
      <c r="BM497" s="102"/>
      <c r="BN497" s="113"/>
      <c r="BO497" s="102"/>
      <c r="BP497" s="102"/>
      <c r="BQ497" s="102"/>
      <c r="BR497" s="102"/>
      <c r="BS497" s="54" t="s">
        <v>35</v>
      </c>
      <c r="BT497" s="45" t="str">
        <f t="shared" si="237"/>
        <v>Yes</v>
      </c>
      <c r="BU497" s="45" t="str">
        <f t="shared" si="238"/>
        <v>Yes</v>
      </c>
      <c r="BV497" s="45" t="str">
        <f t="shared" si="239"/>
        <v>No</v>
      </c>
      <c r="BW497" s="105">
        <f t="shared" si="251"/>
        <v>68.946323615273826</v>
      </c>
      <c r="BX497" s="105"/>
      <c r="BY497" s="105">
        <v>67.016323615273834</v>
      </c>
      <c r="BZ497" s="105"/>
      <c r="CA497" s="45">
        <v>2012</v>
      </c>
      <c r="CB497" s="105">
        <f t="shared" si="246"/>
        <v>22.237156511350058</v>
      </c>
      <c r="CC497" s="46" t="s">
        <v>953</v>
      </c>
      <c r="CD497" s="46" t="s">
        <v>494</v>
      </c>
      <c r="CE497" s="46" t="s">
        <v>783</v>
      </c>
      <c r="CF497" s="46">
        <v>2</v>
      </c>
      <c r="CG497" s="46" t="str">
        <f t="shared" si="247"/>
        <v>No</v>
      </c>
      <c r="CH497" s="46" t="s">
        <v>35</v>
      </c>
      <c r="CI497" s="56">
        <v>0</v>
      </c>
      <c r="CJ497" s="46">
        <v>10</v>
      </c>
      <c r="CK497" s="46" t="s">
        <v>23</v>
      </c>
      <c r="CL497" s="49" t="s">
        <v>29</v>
      </c>
      <c r="CM497" s="102">
        <v>0</v>
      </c>
      <c r="CN497" s="102"/>
      <c r="CO497" s="102"/>
      <c r="CP497" s="46" t="s">
        <v>35</v>
      </c>
      <c r="CQ497" s="46" t="s">
        <v>24</v>
      </c>
      <c r="CR497" s="46">
        <v>7</v>
      </c>
      <c r="CS497" s="46" t="s">
        <v>854</v>
      </c>
      <c r="CT497" s="46" t="s">
        <v>53</v>
      </c>
      <c r="CU497" s="46" t="s">
        <v>29</v>
      </c>
      <c r="CV497" s="46" t="s">
        <v>23</v>
      </c>
      <c r="CW497" s="46" t="s">
        <v>23</v>
      </c>
      <c r="CX497" s="49" t="s">
        <v>409</v>
      </c>
      <c r="CY497" s="49" t="s">
        <v>410</v>
      </c>
      <c r="CZ497" s="49">
        <v>1</v>
      </c>
      <c r="DA497" s="49">
        <v>1</v>
      </c>
      <c r="DB497" s="64">
        <v>167400</v>
      </c>
      <c r="DC497" s="58">
        <v>31.658555066592836</v>
      </c>
      <c r="DD497" s="58">
        <v>13.044618657651618</v>
      </c>
      <c r="DE497" s="58">
        <v>30.428700492524701</v>
      </c>
      <c r="DF497" s="58">
        <v>20.505347827354065</v>
      </c>
      <c r="DG497" s="58">
        <v>4.3627779558767843</v>
      </c>
      <c r="DH497" s="58">
        <v>68.341444933407175</v>
      </c>
      <c r="DI497" s="45" t="s">
        <v>35</v>
      </c>
      <c r="DJ497" s="59" t="str">
        <f t="shared" si="248"/>
        <v>No single majority group</v>
      </c>
      <c r="DK497" s="65">
        <v>25110</v>
      </c>
      <c r="DL497" s="58">
        <v>58.699999999999996</v>
      </c>
      <c r="DM497" s="58">
        <v>5.5100000000000007</v>
      </c>
      <c r="DN497" s="58">
        <v>6.36</v>
      </c>
      <c r="DO497" s="58">
        <v>75.37</v>
      </c>
      <c r="DP497" s="66">
        <v>52.15</v>
      </c>
      <c r="DQ497" s="67">
        <v>45347</v>
      </c>
      <c r="DR497" s="53">
        <v>25.8</v>
      </c>
      <c r="DS497" s="58">
        <v>66.900000000000006</v>
      </c>
      <c r="DT497" s="53">
        <v>49.6</v>
      </c>
      <c r="DU497" s="105">
        <v>3.19</v>
      </c>
      <c r="DV497" s="102">
        <v>31.2</v>
      </c>
      <c r="DW497" s="53">
        <v>74.900000000000006</v>
      </c>
      <c r="DX497" s="53">
        <v>91.23</v>
      </c>
      <c r="DY497" s="53">
        <v>60.732900000000001</v>
      </c>
      <c r="DZ497" s="63"/>
    </row>
    <row r="498" spans="1:130" ht="15.75" customHeight="1">
      <c r="AJ498" s="52"/>
      <c r="AK498" s="98"/>
      <c r="AP498" s="177"/>
      <c r="AX498" s="177"/>
      <c r="BH498" s="177"/>
      <c r="BN498" s="50"/>
    </row>
    <row r="499" spans="1:130" ht="15.75" customHeight="1">
      <c r="AJ499" s="52"/>
      <c r="AK499" s="98"/>
      <c r="AX499" s="177"/>
      <c r="BH499" s="177"/>
      <c r="BN499" s="50"/>
    </row>
    <row r="500" spans="1:130" ht="15.75" customHeight="1">
      <c r="AJ500" s="52"/>
      <c r="AK500" s="98"/>
      <c r="BN500" s="50"/>
    </row>
    <row r="501" spans="1:130" ht="15.75" customHeight="1">
      <c r="AJ501" s="52"/>
      <c r="AK501" s="98"/>
      <c r="BN501" s="50"/>
    </row>
    <row r="502" spans="1:130" ht="15.75" customHeight="1">
      <c r="AJ502" s="52"/>
      <c r="AK502" s="98"/>
      <c r="BN502" s="50"/>
    </row>
    <row r="503" spans="1:130" ht="15.75" customHeight="1">
      <c r="AJ503" s="52"/>
      <c r="AK503" s="98"/>
      <c r="BN503" s="50"/>
    </row>
    <row r="504" spans="1:130" ht="15.75" customHeight="1">
      <c r="AJ504" s="52"/>
      <c r="AK504" s="98"/>
      <c r="BN504" s="50"/>
    </row>
    <row r="505" spans="1:130" ht="15.75" customHeight="1">
      <c r="AJ505" s="52"/>
      <c r="AK505" s="98"/>
      <c r="BN505" s="50"/>
    </row>
    <row r="506" spans="1:130" ht="15.75" customHeight="1">
      <c r="AJ506" s="52"/>
      <c r="AK506" s="98"/>
      <c r="BN506" s="50"/>
    </row>
    <row r="507" spans="1:130" ht="15.75" customHeight="1">
      <c r="AJ507" s="52"/>
      <c r="AK507" s="98"/>
      <c r="BN507" s="50"/>
    </row>
    <row r="508" spans="1:130" ht="15.75" customHeight="1">
      <c r="AJ508" s="52"/>
      <c r="AK508" s="98"/>
      <c r="BN508" s="50"/>
    </row>
    <row r="509" spans="1:130" ht="15.75" customHeight="1">
      <c r="AJ509" s="52"/>
      <c r="AK509" s="98"/>
      <c r="BN509" s="50"/>
    </row>
    <row r="510" spans="1:130" ht="15.75" customHeight="1">
      <c r="AJ510" s="52"/>
      <c r="AK510" s="98"/>
      <c r="BN510" s="50"/>
    </row>
    <row r="511" spans="1:130" ht="15.75" customHeight="1">
      <c r="AJ511" s="52"/>
      <c r="AK511" s="98"/>
      <c r="BN511" s="50"/>
    </row>
    <row r="512" spans="1:130" ht="15.75" customHeight="1">
      <c r="AJ512" s="52"/>
      <c r="AK512" s="98"/>
      <c r="BN512" s="50"/>
    </row>
    <row r="513" spans="36:66" ht="15.75" customHeight="1">
      <c r="AJ513" s="52"/>
      <c r="AK513" s="98"/>
      <c r="BN513" s="50"/>
    </row>
    <row r="514" spans="36:66" ht="15.75" customHeight="1">
      <c r="AJ514" s="52"/>
      <c r="AK514" s="98"/>
      <c r="BN514" s="50"/>
    </row>
    <row r="515" spans="36:66" ht="15.75" customHeight="1">
      <c r="AJ515" s="52"/>
      <c r="AK515" s="98"/>
      <c r="BN515" s="50"/>
    </row>
  </sheetData>
  <autoFilter ref="A4:DZ497">
    <filterColumn colId="1">
      <filters>
        <filter val="San Francisco"/>
      </filters>
    </filterColumn>
    <sortState ref="A5:DS496">
      <sortCondition ref="A4:A496"/>
    </sortState>
  </autoFilter>
  <sortState ref="A5:DX509">
    <sortCondition ref="B5:B509"/>
    <sortCondition ref="C5:C509"/>
    <sortCondition ref="D5:D509"/>
    <sortCondition ref="E5:E509"/>
  </sortState>
  <customSheetViews>
    <customSheetView guid="{D8951DEB-B32B-42EA-9BCF-73D58A896691}" showAutoFilter="1">
      <pane xSplit="5" ySplit="4" topLeftCell="F83" activePane="bottomRight" state="frozen"/>
      <selection pane="bottomRight" activeCell="K88" sqref="K88"/>
      <pageMargins left="0.7" right="0.7" top="0.75" bottom="0.75" header="0.3" footer="0.3"/>
      <pageSetup orientation="portrait" r:id="rId1"/>
      <autoFilter ref="A4:CR467"/>
    </customSheetView>
    <customSheetView guid="{97F96FCD-F19A-48DF-8C23-B7E50D615861}" showAutoFilter="1">
      <pane xSplit="5" ySplit="4" topLeftCell="AN441" activePane="bottomRight" state="frozen"/>
      <selection pane="bottomRight" activeCell="AU453" sqref="AU453:AU459"/>
      <pageMargins left="0.7" right="0.7" top="0.75" bottom="0.75" header="0.3" footer="0.3"/>
      <pageSetup orientation="portrait" verticalDpi="0" r:id="rId2"/>
      <autoFilter ref="A4:CP466">
        <sortState ref="A5:CP466">
          <sortCondition ref="B4:B466"/>
        </sortState>
      </autoFilter>
    </customSheetView>
    <customSheetView guid="{67B9C401-7108-477F-9706-029D4DBE6AC8}" showAutoFilter="1">
      <pane xSplit="5" ySplit="4" topLeftCell="S5" activePane="bottomRight" state="frozen"/>
      <selection pane="bottomRight" activeCell="U12" sqref="U12"/>
      <pageMargins left="0.7" right="0.7" top="0.75" bottom="0.75" header="0.3" footer="0.3"/>
      <pageSetup orientation="portrait" verticalDpi="0" r:id="rId3"/>
      <autoFilter ref="A4:CP466">
        <sortState ref="A5:CP466">
          <sortCondition ref="B4:B466"/>
        </sortState>
      </autoFilter>
    </customSheetView>
    <customSheetView guid="{6094A005-24DC-49A4-B578-0723EAB6A929}" showAutoFilter="1">
      <pane xSplit="5" ySplit="4" topLeftCell="F5" activePane="bottomRight" state="frozen"/>
      <selection pane="bottomRight" activeCell="D4" sqref="D4"/>
      <pageMargins left="0.7" right="0.7" top="0.75" bottom="0.75" header="0.3" footer="0.3"/>
      <pageSetup orientation="portrait" r:id="rId4"/>
      <autoFilter ref="A4:CR467"/>
    </customSheetView>
  </customSheetViews>
  <mergeCells count="18">
    <mergeCell ref="BR3:BV3"/>
    <mergeCell ref="AG3:AQ3"/>
    <mergeCell ref="D3:I3"/>
    <mergeCell ref="CP3:CT3"/>
    <mergeCell ref="CU3:CW3"/>
    <mergeCell ref="DK3:DO3"/>
    <mergeCell ref="DP3:DY3"/>
    <mergeCell ref="J3:Y3"/>
    <mergeCell ref="CC3:CM3"/>
    <mergeCell ref="DB3:DJ3"/>
    <mergeCell ref="CX3:DA3"/>
    <mergeCell ref="Z3:AF3"/>
    <mergeCell ref="BN3:BQ3"/>
    <mergeCell ref="AR3:AW3"/>
    <mergeCell ref="AX3:BC3"/>
    <mergeCell ref="BD3:BG3"/>
    <mergeCell ref="BH3:BM3"/>
    <mergeCell ref="BW3:CB3"/>
  </mergeCell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1731"/>
  <sheetViews>
    <sheetView topLeftCell="A1527" workbookViewId="0">
      <selection activeCell="N1658" sqref="N1658"/>
    </sheetView>
  </sheetViews>
  <sheetFormatPr defaultRowHeight="12.75"/>
  <cols>
    <col min="2" max="6" width="5.140625" customWidth="1"/>
    <col min="7" max="20" width="16.42578125" customWidth="1"/>
  </cols>
  <sheetData>
    <row r="1" spans="1:21" ht="75.75" thickBot="1">
      <c r="A1" s="123" t="s">
        <v>981</v>
      </c>
      <c r="B1" s="123" t="s">
        <v>982</v>
      </c>
      <c r="C1" s="123" t="s">
        <v>983</v>
      </c>
      <c r="D1" s="123" t="s">
        <v>984</v>
      </c>
      <c r="E1" s="123" t="s">
        <v>985</v>
      </c>
      <c r="F1" s="123" t="s">
        <v>986</v>
      </c>
      <c r="G1" s="124" t="s">
        <v>0</v>
      </c>
      <c r="H1" s="124" t="s">
        <v>1</v>
      </c>
      <c r="I1" s="124" t="s">
        <v>2</v>
      </c>
      <c r="J1" s="124" t="s">
        <v>987</v>
      </c>
      <c r="K1" s="124" t="s">
        <v>988</v>
      </c>
      <c r="L1" s="124" t="s">
        <v>989</v>
      </c>
      <c r="M1" s="125" t="s">
        <v>990</v>
      </c>
      <c r="N1" s="125" t="s">
        <v>991</v>
      </c>
      <c r="O1" s="125" t="s">
        <v>513</v>
      </c>
      <c r="P1" s="125" t="s">
        <v>992</v>
      </c>
      <c r="Q1" s="124" t="s">
        <v>993</v>
      </c>
      <c r="R1" s="124" t="s">
        <v>994</v>
      </c>
      <c r="S1" s="124" t="s">
        <v>995</v>
      </c>
      <c r="T1" s="124" t="s">
        <v>996</v>
      </c>
      <c r="U1" s="126"/>
    </row>
    <row r="2" spans="1:21" ht="15.75" hidden="1" thickBot="1">
      <c r="A2" s="45">
        <v>1019</v>
      </c>
      <c r="B2" s="45">
        <v>1020</v>
      </c>
      <c r="C2" s="123"/>
      <c r="D2" s="123"/>
      <c r="E2" s="123"/>
      <c r="F2" s="123"/>
      <c r="G2" s="127" t="s">
        <v>20</v>
      </c>
      <c r="H2" s="128">
        <v>2000</v>
      </c>
      <c r="I2" s="128" t="s">
        <v>21</v>
      </c>
      <c r="J2" s="128">
        <f t="shared" ref="J2:J65" si="0">COUNTIF(A$2:A$2215, A2)</f>
        <v>7</v>
      </c>
      <c r="K2" s="128" t="s">
        <v>49</v>
      </c>
      <c r="L2" s="128" t="s">
        <v>30</v>
      </c>
      <c r="M2" s="129" t="s">
        <v>201</v>
      </c>
      <c r="N2" s="129" t="s">
        <v>32</v>
      </c>
      <c r="O2" s="129" t="s">
        <v>32</v>
      </c>
      <c r="P2" s="129" t="str">
        <f>IF(O2="N", "N/A", IF(AND(N2="N",  O2="Y"), "N", IF(AND(O2="Y", N2="Y"), "Y", "")))</f>
        <v>Y</v>
      </c>
      <c r="Q2" s="128" t="s">
        <v>997</v>
      </c>
      <c r="R2" s="128">
        <v>25.06</v>
      </c>
      <c r="S2" s="130"/>
      <c r="T2" s="130" t="s">
        <v>998</v>
      </c>
      <c r="U2" s="131"/>
    </row>
    <row r="3" spans="1:21" ht="15.75" hidden="1" thickBot="1">
      <c r="A3" s="45">
        <v>1019</v>
      </c>
      <c r="B3" s="45">
        <v>1020</v>
      </c>
      <c r="C3" s="123"/>
      <c r="D3" s="123"/>
      <c r="E3" s="123"/>
      <c r="F3" s="123"/>
      <c r="G3" s="127" t="s">
        <v>20</v>
      </c>
      <c r="H3" s="128">
        <v>2000</v>
      </c>
      <c r="I3" s="128" t="s">
        <v>21</v>
      </c>
      <c r="J3" s="128">
        <f t="shared" si="0"/>
        <v>7</v>
      </c>
      <c r="K3" s="128" t="s">
        <v>999</v>
      </c>
      <c r="L3" s="128" t="s">
        <v>30</v>
      </c>
      <c r="M3" s="129" t="s">
        <v>31</v>
      </c>
      <c r="N3" s="129" t="s">
        <v>28</v>
      </c>
      <c r="O3" s="129" t="s">
        <v>28</v>
      </c>
      <c r="P3" s="129" t="str">
        <f t="shared" ref="P3:P66" si="1">IF(O3="N", "N/A", IF(AND(N3="N",  O3="Y"), "N", IF(AND(O3="Y", N3="Y"), "Y", "")))</f>
        <v>N/A</v>
      </c>
      <c r="Q3" s="128" t="s">
        <v>1000</v>
      </c>
      <c r="R3" s="128">
        <v>9.32</v>
      </c>
      <c r="S3" s="130"/>
      <c r="T3" s="130" t="s">
        <v>31</v>
      </c>
      <c r="U3" s="131"/>
    </row>
    <row r="4" spans="1:21" ht="15.75" hidden="1" thickBot="1">
      <c r="A4" s="45">
        <v>1019</v>
      </c>
      <c r="B4" s="45">
        <v>1020</v>
      </c>
      <c r="C4" s="123"/>
      <c r="D4" s="123"/>
      <c r="E4" s="123"/>
      <c r="F4" s="123"/>
      <c r="G4" s="127" t="s">
        <v>20</v>
      </c>
      <c r="H4" s="128">
        <v>2000</v>
      </c>
      <c r="I4" s="128" t="s">
        <v>21</v>
      </c>
      <c r="J4" s="128">
        <f t="shared" si="0"/>
        <v>7</v>
      </c>
      <c r="K4" s="128" t="s">
        <v>50</v>
      </c>
      <c r="L4" s="128" t="s">
        <v>40</v>
      </c>
      <c r="M4" s="129" t="s">
        <v>31</v>
      </c>
      <c r="N4" s="129" t="s">
        <v>32</v>
      </c>
      <c r="O4" s="129" t="s">
        <v>32</v>
      </c>
      <c r="P4" s="129" t="str">
        <f t="shared" si="1"/>
        <v>Y</v>
      </c>
      <c r="Q4" s="132" t="s">
        <v>1001</v>
      </c>
      <c r="R4" s="128">
        <v>21.25</v>
      </c>
      <c r="S4" s="130"/>
      <c r="T4" s="130" t="s">
        <v>31</v>
      </c>
      <c r="U4" s="131"/>
    </row>
    <row r="5" spans="1:21" ht="15.75" hidden="1" thickBot="1">
      <c r="A5" s="45">
        <v>1019</v>
      </c>
      <c r="B5" s="45">
        <v>1020</v>
      </c>
      <c r="C5" s="123"/>
      <c r="D5" s="123"/>
      <c r="E5" s="123"/>
      <c r="F5" s="123"/>
      <c r="G5" s="127" t="s">
        <v>20</v>
      </c>
      <c r="H5" s="128">
        <v>2000</v>
      </c>
      <c r="I5" s="128" t="s">
        <v>21</v>
      </c>
      <c r="J5" s="128">
        <f t="shared" si="0"/>
        <v>7</v>
      </c>
      <c r="K5" s="128" t="s">
        <v>1002</v>
      </c>
      <c r="L5" s="128" t="s">
        <v>30</v>
      </c>
      <c r="M5" s="129" t="s">
        <v>1003</v>
      </c>
      <c r="N5" s="129" t="s">
        <v>28</v>
      </c>
      <c r="O5" s="129" t="s">
        <v>28</v>
      </c>
      <c r="P5" s="129" t="str">
        <f t="shared" si="1"/>
        <v>N/A</v>
      </c>
      <c r="Q5" s="128" t="s">
        <v>1004</v>
      </c>
      <c r="R5" s="128">
        <v>7.04</v>
      </c>
      <c r="S5" s="130"/>
      <c r="T5" s="130"/>
      <c r="U5" s="131"/>
    </row>
    <row r="6" spans="1:21" ht="15.75" hidden="1" thickBot="1">
      <c r="A6" s="45">
        <v>1019</v>
      </c>
      <c r="B6" s="45">
        <v>1020</v>
      </c>
      <c r="C6" s="123"/>
      <c r="D6" s="123"/>
      <c r="E6" s="123"/>
      <c r="F6" s="123"/>
      <c r="G6" s="127" t="s">
        <v>20</v>
      </c>
      <c r="H6" s="128">
        <v>2000</v>
      </c>
      <c r="I6" s="128" t="s">
        <v>21</v>
      </c>
      <c r="J6" s="128">
        <f t="shared" si="0"/>
        <v>7</v>
      </c>
      <c r="K6" s="128" t="s">
        <v>1005</v>
      </c>
      <c r="L6" s="128" t="s">
        <v>40</v>
      </c>
      <c r="M6" s="129" t="s">
        <v>31</v>
      </c>
      <c r="N6" s="129" t="s">
        <v>28</v>
      </c>
      <c r="O6" s="129" t="s">
        <v>28</v>
      </c>
      <c r="P6" s="129" t="str">
        <f t="shared" si="1"/>
        <v>N/A</v>
      </c>
      <c r="Q6" s="128" t="s">
        <v>1006</v>
      </c>
      <c r="R6" s="128">
        <v>17.34</v>
      </c>
      <c r="S6" s="130"/>
      <c r="T6" s="130" t="s">
        <v>31</v>
      </c>
      <c r="U6" s="131"/>
    </row>
    <row r="7" spans="1:21" ht="15.75" hidden="1" thickBot="1">
      <c r="A7" s="45">
        <v>1019</v>
      </c>
      <c r="B7" s="45">
        <v>1020</v>
      </c>
      <c r="C7" s="123"/>
      <c r="D7" s="123"/>
      <c r="E7" s="123"/>
      <c r="F7" s="123"/>
      <c r="G7" s="127" t="s">
        <v>20</v>
      </c>
      <c r="H7" s="128">
        <v>2000</v>
      </c>
      <c r="I7" s="128" t="s">
        <v>21</v>
      </c>
      <c r="J7" s="128">
        <f t="shared" si="0"/>
        <v>7</v>
      </c>
      <c r="K7" s="128" t="s">
        <v>1007</v>
      </c>
      <c r="L7" s="128" t="s">
        <v>30</v>
      </c>
      <c r="M7" s="129" t="s">
        <v>31</v>
      </c>
      <c r="N7" s="129" t="s">
        <v>28</v>
      </c>
      <c r="O7" s="129" t="s">
        <v>28</v>
      </c>
      <c r="P7" s="129" t="str">
        <f t="shared" si="1"/>
        <v>N/A</v>
      </c>
      <c r="Q7" s="128" t="s">
        <v>1008</v>
      </c>
      <c r="R7" s="128">
        <v>11.26</v>
      </c>
      <c r="S7" s="130"/>
      <c r="T7" s="130" t="s">
        <v>31</v>
      </c>
      <c r="U7" s="131"/>
    </row>
    <row r="8" spans="1:21" ht="15.75" hidden="1" thickBot="1">
      <c r="A8" s="45">
        <v>1019</v>
      </c>
      <c r="B8" s="45">
        <v>1020</v>
      </c>
      <c r="C8" s="123"/>
      <c r="D8" s="123"/>
      <c r="E8" s="123"/>
      <c r="F8" s="123"/>
      <c r="G8" s="127" t="s">
        <v>20</v>
      </c>
      <c r="H8" s="128">
        <v>2000</v>
      </c>
      <c r="I8" s="128" t="s">
        <v>21</v>
      </c>
      <c r="J8" s="128">
        <f t="shared" si="0"/>
        <v>7</v>
      </c>
      <c r="K8" s="128" t="s">
        <v>1009</v>
      </c>
      <c r="L8" s="128" t="s">
        <v>40</v>
      </c>
      <c r="M8" s="129" t="s">
        <v>1003</v>
      </c>
      <c r="N8" s="129" t="s">
        <v>28</v>
      </c>
      <c r="O8" s="129" t="s">
        <v>28</v>
      </c>
      <c r="P8" s="129" t="str">
        <f t="shared" si="1"/>
        <v>N/A</v>
      </c>
      <c r="Q8" s="128" t="s">
        <v>1004</v>
      </c>
      <c r="R8" s="128">
        <v>8.73</v>
      </c>
      <c r="S8" s="130"/>
      <c r="T8" s="130"/>
      <c r="U8" s="131"/>
    </row>
    <row r="9" spans="1:21" ht="15.75" hidden="1" thickBot="1">
      <c r="A9" s="45">
        <v>1017</v>
      </c>
      <c r="B9" s="45">
        <v>1016</v>
      </c>
      <c r="C9" s="123"/>
      <c r="D9" s="123"/>
      <c r="E9" s="123"/>
      <c r="F9" s="123"/>
      <c r="G9" s="127" t="s">
        <v>20</v>
      </c>
      <c r="H9" s="128">
        <v>2002</v>
      </c>
      <c r="I9" s="128" t="s">
        <v>21</v>
      </c>
      <c r="J9" s="128">
        <f t="shared" si="0"/>
        <v>8</v>
      </c>
      <c r="K9" s="128" t="s">
        <v>1010</v>
      </c>
      <c r="L9" s="128" t="s">
        <v>40</v>
      </c>
      <c r="M9" s="129" t="s">
        <v>31</v>
      </c>
      <c r="N9" s="129" t="s">
        <v>28</v>
      </c>
      <c r="O9" s="129" t="s">
        <v>28</v>
      </c>
      <c r="P9" s="129" t="str">
        <f t="shared" si="1"/>
        <v>N/A</v>
      </c>
      <c r="Q9" s="128" t="s">
        <v>1011</v>
      </c>
      <c r="R9" s="128">
        <v>4.68</v>
      </c>
      <c r="S9" s="130"/>
      <c r="T9" s="130" t="s">
        <v>31</v>
      </c>
      <c r="U9" s="131"/>
    </row>
    <row r="10" spans="1:21" ht="15.75" hidden="1" thickBot="1">
      <c r="A10" s="45">
        <v>1017</v>
      </c>
      <c r="B10" s="45">
        <v>1016</v>
      </c>
      <c r="C10" s="123"/>
      <c r="D10" s="123"/>
      <c r="E10" s="123"/>
      <c r="F10" s="123"/>
      <c r="G10" s="127" t="s">
        <v>20</v>
      </c>
      <c r="H10" s="128">
        <v>2002</v>
      </c>
      <c r="I10" s="128" t="s">
        <v>21</v>
      </c>
      <c r="J10" s="128">
        <f t="shared" si="0"/>
        <v>8</v>
      </c>
      <c r="K10" s="128" t="s">
        <v>33</v>
      </c>
      <c r="L10" s="128" t="s">
        <v>30</v>
      </c>
      <c r="M10" s="129" t="s">
        <v>31</v>
      </c>
      <c r="N10" s="129" t="s">
        <v>32</v>
      </c>
      <c r="O10" s="129" t="s">
        <v>28</v>
      </c>
      <c r="P10" s="129" t="str">
        <f t="shared" si="1"/>
        <v>N/A</v>
      </c>
      <c r="Q10" s="130"/>
      <c r="R10" s="128">
        <v>17.28</v>
      </c>
      <c r="S10" s="130"/>
      <c r="T10" s="130"/>
      <c r="U10" s="131"/>
    </row>
    <row r="11" spans="1:21" ht="15.75" hidden="1" thickBot="1">
      <c r="A11" s="45">
        <v>1017</v>
      </c>
      <c r="B11" s="45">
        <v>1016</v>
      </c>
      <c r="C11" s="123"/>
      <c r="D11" s="123"/>
      <c r="E11" s="123"/>
      <c r="F11" s="123"/>
      <c r="G11" s="127" t="s">
        <v>20</v>
      </c>
      <c r="H11" s="128">
        <v>2002</v>
      </c>
      <c r="I11" s="128" t="s">
        <v>21</v>
      </c>
      <c r="J11" s="128">
        <f t="shared" si="0"/>
        <v>8</v>
      </c>
      <c r="K11" s="128" t="s">
        <v>1012</v>
      </c>
      <c r="L11" s="128" t="s">
        <v>30</v>
      </c>
      <c r="M11" s="129" t="s">
        <v>1013</v>
      </c>
      <c r="N11" s="129" t="s">
        <v>28</v>
      </c>
      <c r="O11" s="129" t="s">
        <v>28</v>
      </c>
      <c r="P11" s="129" t="str">
        <f t="shared" si="1"/>
        <v>N/A</v>
      </c>
      <c r="Q11" s="128" t="s">
        <v>1014</v>
      </c>
      <c r="R11" s="128">
        <v>10.37</v>
      </c>
      <c r="S11" s="130"/>
      <c r="T11" s="130" t="s">
        <v>1015</v>
      </c>
      <c r="U11" s="131"/>
    </row>
    <row r="12" spans="1:21" ht="15.75" hidden="1" thickBot="1">
      <c r="A12" s="45">
        <v>1017</v>
      </c>
      <c r="B12" s="45">
        <v>1016</v>
      </c>
      <c r="C12" s="123"/>
      <c r="D12" s="123"/>
      <c r="E12" s="123"/>
      <c r="F12" s="123"/>
      <c r="G12" s="127" t="s">
        <v>20</v>
      </c>
      <c r="H12" s="128">
        <v>2002</v>
      </c>
      <c r="I12" s="128" t="s">
        <v>21</v>
      </c>
      <c r="J12" s="128">
        <f t="shared" si="0"/>
        <v>8</v>
      </c>
      <c r="K12" s="128" t="s">
        <v>1016</v>
      </c>
      <c r="L12" s="128" t="s">
        <v>30</v>
      </c>
      <c r="M12" s="129" t="s">
        <v>31</v>
      </c>
      <c r="N12" s="129" t="s">
        <v>28</v>
      </c>
      <c r="O12" s="129" t="s">
        <v>28</v>
      </c>
      <c r="P12" s="129" t="str">
        <f t="shared" si="1"/>
        <v>N/A</v>
      </c>
      <c r="Q12" s="128" t="s">
        <v>1017</v>
      </c>
      <c r="R12" s="128">
        <v>10.98</v>
      </c>
      <c r="S12" s="130"/>
      <c r="T12" s="130"/>
      <c r="U12" s="131"/>
    </row>
    <row r="13" spans="1:21" ht="15.75" hidden="1" thickBot="1">
      <c r="A13" s="45">
        <v>1017</v>
      </c>
      <c r="B13" s="45">
        <v>1016</v>
      </c>
      <c r="C13" s="123"/>
      <c r="D13" s="123"/>
      <c r="E13" s="123"/>
      <c r="F13" s="123"/>
      <c r="G13" s="127" t="s">
        <v>20</v>
      </c>
      <c r="H13" s="128">
        <v>2002</v>
      </c>
      <c r="I13" s="128" t="s">
        <v>21</v>
      </c>
      <c r="J13" s="128">
        <f t="shared" si="0"/>
        <v>8</v>
      </c>
      <c r="K13" s="128" t="s">
        <v>1018</v>
      </c>
      <c r="L13" s="128" t="s">
        <v>40</v>
      </c>
      <c r="M13" s="129" t="s">
        <v>1003</v>
      </c>
      <c r="N13" s="129" t="s">
        <v>28</v>
      </c>
      <c r="O13" s="129" t="s">
        <v>28</v>
      </c>
      <c r="P13" s="129" t="str">
        <f t="shared" si="1"/>
        <v>N/A</v>
      </c>
      <c r="Q13" s="128" t="s">
        <v>1004</v>
      </c>
      <c r="R13" s="128">
        <v>13.39</v>
      </c>
      <c r="S13" s="130"/>
      <c r="T13" s="130" t="s">
        <v>31</v>
      </c>
      <c r="U13" s="131"/>
    </row>
    <row r="14" spans="1:21" ht="15.75" hidden="1" thickBot="1">
      <c r="A14" s="45">
        <v>1017</v>
      </c>
      <c r="B14" s="45">
        <v>1016</v>
      </c>
      <c r="C14" s="123"/>
      <c r="D14" s="123"/>
      <c r="E14" s="123"/>
      <c r="F14" s="123"/>
      <c r="G14" s="127" t="s">
        <v>20</v>
      </c>
      <c r="H14" s="128">
        <v>2002</v>
      </c>
      <c r="I14" s="128" t="s">
        <v>21</v>
      </c>
      <c r="J14" s="128">
        <f t="shared" si="0"/>
        <v>8</v>
      </c>
      <c r="K14" s="128" t="s">
        <v>1009</v>
      </c>
      <c r="L14" s="128" t="s">
        <v>40</v>
      </c>
      <c r="M14" s="129" t="s">
        <v>1003</v>
      </c>
      <c r="N14" s="129" t="s">
        <v>28</v>
      </c>
      <c r="O14" s="129" t="s">
        <v>28</v>
      </c>
      <c r="P14" s="129" t="str">
        <f t="shared" si="1"/>
        <v>N/A</v>
      </c>
      <c r="Q14" s="128" t="s">
        <v>1004</v>
      </c>
      <c r="R14" s="128">
        <v>8.1300000000000008</v>
      </c>
      <c r="S14" s="130"/>
      <c r="T14" s="130"/>
      <c r="U14" s="131"/>
    </row>
    <row r="15" spans="1:21" ht="15.75" hidden="1" thickBot="1">
      <c r="A15" s="45">
        <v>1017</v>
      </c>
      <c r="B15" s="45">
        <v>1016</v>
      </c>
      <c r="C15" s="123"/>
      <c r="D15" s="123"/>
      <c r="E15" s="123"/>
      <c r="F15" s="123"/>
      <c r="G15" s="127" t="s">
        <v>20</v>
      </c>
      <c r="H15" s="128">
        <v>2002</v>
      </c>
      <c r="I15" s="128" t="s">
        <v>21</v>
      </c>
      <c r="J15" s="128">
        <f t="shared" si="0"/>
        <v>8</v>
      </c>
      <c r="K15" s="128" t="s">
        <v>1019</v>
      </c>
      <c r="L15" s="128" t="s">
        <v>30</v>
      </c>
      <c r="M15" s="129" t="s">
        <v>1003</v>
      </c>
      <c r="N15" s="129" t="s">
        <v>28</v>
      </c>
      <c r="O15" s="129" t="s">
        <v>28</v>
      </c>
      <c r="P15" s="129" t="str">
        <f t="shared" si="1"/>
        <v>N/A</v>
      </c>
      <c r="Q15" s="128" t="s">
        <v>1004</v>
      </c>
      <c r="R15" s="128">
        <v>7.35</v>
      </c>
      <c r="S15" s="130"/>
      <c r="T15" s="130"/>
      <c r="U15" s="131"/>
    </row>
    <row r="16" spans="1:21" ht="15.75" hidden="1" thickBot="1">
      <c r="A16" s="45">
        <v>1017</v>
      </c>
      <c r="B16" s="45">
        <v>1016</v>
      </c>
      <c r="C16" s="123"/>
      <c r="D16" s="123"/>
      <c r="E16" s="123"/>
      <c r="F16" s="123"/>
      <c r="G16" s="127" t="s">
        <v>20</v>
      </c>
      <c r="H16" s="128">
        <v>2002</v>
      </c>
      <c r="I16" s="128" t="s">
        <v>21</v>
      </c>
      <c r="J16" s="128">
        <f t="shared" si="0"/>
        <v>8</v>
      </c>
      <c r="K16" s="128" t="s">
        <v>43</v>
      </c>
      <c r="L16" s="128" t="s">
        <v>30</v>
      </c>
      <c r="M16" s="129" t="s">
        <v>34</v>
      </c>
      <c r="N16" s="129" t="s">
        <v>32</v>
      </c>
      <c r="O16" s="129" t="s">
        <v>32</v>
      </c>
      <c r="P16" s="129" t="str">
        <f t="shared" si="1"/>
        <v>Y</v>
      </c>
      <c r="Q16" s="130"/>
      <c r="R16" s="128">
        <v>27.63</v>
      </c>
      <c r="S16" s="130"/>
      <c r="T16" s="130"/>
      <c r="U16" s="131"/>
    </row>
    <row r="17" spans="1:21" ht="15.75" hidden="1" thickBot="1">
      <c r="A17" s="45">
        <v>1018</v>
      </c>
      <c r="B17" s="123"/>
      <c r="C17" s="123"/>
      <c r="D17" s="123"/>
      <c r="E17" s="123"/>
      <c r="F17" s="123"/>
      <c r="G17" s="127" t="s">
        <v>20</v>
      </c>
      <c r="H17" s="128">
        <v>2002</v>
      </c>
      <c r="I17" s="128" t="s">
        <v>38</v>
      </c>
      <c r="J17" s="128">
        <f t="shared" si="0"/>
        <v>4</v>
      </c>
      <c r="K17" s="128" t="s">
        <v>50</v>
      </c>
      <c r="L17" s="128" t="s">
        <v>40</v>
      </c>
      <c r="M17" s="129" t="s">
        <v>31</v>
      </c>
      <c r="N17" s="129" t="s">
        <v>28</v>
      </c>
      <c r="O17" s="129" t="s">
        <v>28</v>
      </c>
      <c r="P17" s="129" t="str">
        <f t="shared" si="1"/>
        <v>N/A</v>
      </c>
      <c r="Q17" s="128" t="s">
        <v>1020</v>
      </c>
      <c r="R17" s="128">
        <v>21.96</v>
      </c>
      <c r="S17" s="130"/>
      <c r="T17" s="130" t="s">
        <v>31</v>
      </c>
      <c r="U17" s="131"/>
    </row>
    <row r="18" spans="1:21" ht="15.75" hidden="1" thickBot="1">
      <c r="A18" s="45">
        <v>1018</v>
      </c>
      <c r="B18" s="123"/>
      <c r="C18" s="123"/>
      <c r="D18" s="123"/>
      <c r="E18" s="123"/>
      <c r="F18" s="123"/>
      <c r="G18" s="127" t="s">
        <v>20</v>
      </c>
      <c r="H18" s="128">
        <v>2002</v>
      </c>
      <c r="I18" s="128" t="s">
        <v>38</v>
      </c>
      <c r="J18" s="128">
        <f t="shared" si="0"/>
        <v>4</v>
      </c>
      <c r="K18" s="128" t="s">
        <v>48</v>
      </c>
      <c r="L18" s="128" t="s">
        <v>40</v>
      </c>
      <c r="M18" s="129" t="s">
        <v>31</v>
      </c>
      <c r="N18" s="129" t="s">
        <v>32</v>
      </c>
      <c r="O18" s="129" t="s">
        <v>32</v>
      </c>
      <c r="P18" s="129" t="str">
        <f t="shared" si="1"/>
        <v>Y</v>
      </c>
      <c r="Q18" s="130"/>
      <c r="R18" s="128">
        <v>47.96</v>
      </c>
      <c r="S18" s="130"/>
      <c r="T18" s="130"/>
      <c r="U18" s="131"/>
    </row>
    <row r="19" spans="1:21" ht="15.75" hidden="1" thickBot="1">
      <c r="A19" s="45">
        <v>1018</v>
      </c>
      <c r="B19" s="123"/>
      <c r="C19" s="123"/>
      <c r="D19" s="123"/>
      <c r="E19" s="123"/>
      <c r="F19" s="123"/>
      <c r="G19" s="127" t="s">
        <v>20</v>
      </c>
      <c r="H19" s="128">
        <v>2002</v>
      </c>
      <c r="I19" s="128" t="s">
        <v>38</v>
      </c>
      <c r="J19" s="128">
        <f t="shared" si="0"/>
        <v>4</v>
      </c>
      <c r="K19" s="128" t="s">
        <v>1021</v>
      </c>
      <c r="L19" s="128" t="s">
        <v>30</v>
      </c>
      <c r="M19" s="129" t="s">
        <v>31</v>
      </c>
      <c r="N19" s="129" t="s">
        <v>28</v>
      </c>
      <c r="O19" s="129" t="s">
        <v>28</v>
      </c>
      <c r="P19" s="129" t="str">
        <f t="shared" si="1"/>
        <v>N/A</v>
      </c>
      <c r="Q19" s="128" t="s">
        <v>1022</v>
      </c>
      <c r="R19" s="128">
        <v>26.71</v>
      </c>
      <c r="S19" s="130"/>
      <c r="T19" s="130" t="s">
        <v>31</v>
      </c>
      <c r="U19" s="131"/>
    </row>
    <row r="20" spans="1:21" ht="15.75" hidden="1" thickBot="1">
      <c r="A20" s="45">
        <v>1018</v>
      </c>
      <c r="B20" s="123"/>
      <c r="C20" s="123"/>
      <c r="D20" s="123"/>
      <c r="E20" s="123"/>
      <c r="F20" s="123"/>
      <c r="G20" s="127" t="s">
        <v>20</v>
      </c>
      <c r="H20" s="128">
        <v>2002</v>
      </c>
      <c r="I20" s="128" t="s">
        <v>38</v>
      </c>
      <c r="J20" s="128">
        <f t="shared" si="0"/>
        <v>4</v>
      </c>
      <c r="K20" s="128" t="s">
        <v>1023</v>
      </c>
      <c r="L20" s="128" t="s">
        <v>40</v>
      </c>
      <c r="M20" s="129" t="s">
        <v>1003</v>
      </c>
      <c r="N20" s="129" t="s">
        <v>28</v>
      </c>
      <c r="O20" s="129" t="s">
        <v>28</v>
      </c>
      <c r="P20" s="129" t="str">
        <f t="shared" si="1"/>
        <v>N/A</v>
      </c>
      <c r="Q20" s="128" t="s">
        <v>1004</v>
      </c>
      <c r="R20" s="128">
        <v>3.1</v>
      </c>
      <c r="S20" s="130"/>
      <c r="T20" s="130"/>
      <c r="U20" s="131"/>
    </row>
    <row r="21" spans="1:21" ht="15.75" hidden="1" thickBot="1">
      <c r="A21" s="45">
        <v>1014</v>
      </c>
      <c r="B21" s="45">
        <v>1015</v>
      </c>
      <c r="C21" s="123"/>
      <c r="D21" s="123"/>
      <c r="E21" s="123"/>
      <c r="F21" s="123"/>
      <c r="G21" s="127" t="s">
        <v>20</v>
      </c>
      <c r="H21" s="128">
        <v>2004</v>
      </c>
      <c r="I21" s="128" t="s">
        <v>21</v>
      </c>
      <c r="J21" s="128">
        <f t="shared" si="0"/>
        <v>7</v>
      </c>
      <c r="K21" s="128" t="s">
        <v>1010</v>
      </c>
      <c r="L21" s="128" t="s">
        <v>40</v>
      </c>
      <c r="M21" s="129" t="s">
        <v>31</v>
      </c>
      <c r="N21" s="129" t="s">
        <v>28</v>
      </c>
      <c r="O21" s="129" t="s">
        <v>28</v>
      </c>
      <c r="P21" s="129" t="str">
        <f t="shared" si="1"/>
        <v>N/A</v>
      </c>
      <c r="Q21" s="128" t="s">
        <v>1011</v>
      </c>
      <c r="R21" s="128">
        <v>4.83</v>
      </c>
      <c r="S21" s="130"/>
      <c r="T21" s="130" t="s">
        <v>31</v>
      </c>
      <c r="U21" s="131"/>
    </row>
    <row r="22" spans="1:21" ht="15.75" hidden="1" thickBot="1">
      <c r="A22" s="45">
        <v>1014</v>
      </c>
      <c r="B22" s="45">
        <v>1015</v>
      </c>
      <c r="C22" s="123"/>
      <c r="D22" s="123"/>
      <c r="E22" s="123"/>
      <c r="F22" s="123"/>
      <c r="G22" s="127" t="s">
        <v>20</v>
      </c>
      <c r="H22" s="128">
        <v>2004</v>
      </c>
      <c r="I22" s="128" t="s">
        <v>21</v>
      </c>
      <c r="J22" s="128">
        <f t="shared" si="0"/>
        <v>7</v>
      </c>
      <c r="K22" s="128" t="s">
        <v>47</v>
      </c>
      <c r="L22" s="128" t="s">
        <v>30</v>
      </c>
      <c r="M22" s="129" t="s">
        <v>31</v>
      </c>
      <c r="N22" s="129" t="s">
        <v>32</v>
      </c>
      <c r="O22" s="129" t="s">
        <v>28</v>
      </c>
      <c r="P22" s="129" t="str">
        <f t="shared" si="1"/>
        <v>N/A</v>
      </c>
      <c r="Q22" s="130"/>
      <c r="R22" s="128">
        <v>18.78</v>
      </c>
      <c r="S22" s="130"/>
      <c r="T22" s="130"/>
      <c r="U22" s="131"/>
    </row>
    <row r="23" spans="1:21" ht="15.75" hidden="1" thickBot="1">
      <c r="A23" s="45">
        <v>1014</v>
      </c>
      <c r="B23" s="45">
        <v>1015</v>
      </c>
      <c r="C23" s="123"/>
      <c r="D23" s="123"/>
      <c r="E23" s="123"/>
      <c r="F23" s="123"/>
      <c r="G23" s="127" t="s">
        <v>20</v>
      </c>
      <c r="H23" s="128">
        <v>2004</v>
      </c>
      <c r="I23" s="128" t="s">
        <v>21</v>
      </c>
      <c r="J23" s="128">
        <f t="shared" si="0"/>
        <v>7</v>
      </c>
      <c r="K23" s="128" t="s">
        <v>46</v>
      </c>
      <c r="L23" s="128" t="s">
        <v>40</v>
      </c>
      <c r="M23" s="129" t="s">
        <v>201</v>
      </c>
      <c r="N23" s="129" t="s">
        <v>32</v>
      </c>
      <c r="O23" s="129" t="s">
        <v>28</v>
      </c>
      <c r="P23" s="129" t="str">
        <f t="shared" si="1"/>
        <v>N/A</v>
      </c>
      <c r="Q23" s="130"/>
      <c r="R23" s="128">
        <v>23.11</v>
      </c>
      <c r="S23" s="130"/>
      <c r="T23" s="130"/>
      <c r="U23" s="131"/>
    </row>
    <row r="24" spans="1:21" ht="15.75" hidden="1" thickBot="1">
      <c r="A24" s="45">
        <v>1014</v>
      </c>
      <c r="B24" s="45">
        <v>1015</v>
      </c>
      <c r="C24" s="123"/>
      <c r="D24" s="123"/>
      <c r="E24" s="123"/>
      <c r="F24" s="123"/>
      <c r="G24" s="127" t="s">
        <v>20</v>
      </c>
      <c r="H24" s="128">
        <v>2004</v>
      </c>
      <c r="I24" s="128" t="s">
        <v>21</v>
      </c>
      <c r="J24" s="128">
        <f t="shared" si="0"/>
        <v>7</v>
      </c>
      <c r="K24" s="128" t="s">
        <v>42</v>
      </c>
      <c r="L24" s="128" t="s">
        <v>40</v>
      </c>
      <c r="M24" s="129" t="s">
        <v>31</v>
      </c>
      <c r="N24" s="129" t="s">
        <v>28</v>
      </c>
      <c r="O24" s="129" t="s">
        <v>28</v>
      </c>
      <c r="P24" s="129" t="str">
        <f t="shared" si="1"/>
        <v>N/A</v>
      </c>
      <c r="Q24" s="130"/>
      <c r="R24" s="128">
        <v>17.32</v>
      </c>
      <c r="S24" s="130"/>
      <c r="T24" s="130"/>
      <c r="U24" s="131"/>
    </row>
    <row r="25" spans="1:21" ht="15.75" hidden="1" thickBot="1">
      <c r="A25" s="45">
        <v>1014</v>
      </c>
      <c r="B25" s="45">
        <v>1015</v>
      </c>
      <c r="C25" s="123"/>
      <c r="D25" s="123"/>
      <c r="E25" s="123"/>
      <c r="F25" s="123"/>
      <c r="G25" s="127" t="s">
        <v>20</v>
      </c>
      <c r="H25" s="128">
        <v>2004</v>
      </c>
      <c r="I25" s="128" t="s">
        <v>21</v>
      </c>
      <c r="J25" s="128">
        <f t="shared" si="0"/>
        <v>7</v>
      </c>
      <c r="K25" s="128" t="s">
        <v>1024</v>
      </c>
      <c r="L25" s="128" t="s">
        <v>40</v>
      </c>
      <c r="M25" s="129" t="s">
        <v>31</v>
      </c>
      <c r="N25" s="129" t="s">
        <v>28</v>
      </c>
      <c r="O25" s="129" t="s">
        <v>28</v>
      </c>
      <c r="P25" s="129" t="str">
        <f t="shared" si="1"/>
        <v>N/A</v>
      </c>
      <c r="Q25" s="128" t="s">
        <v>1025</v>
      </c>
      <c r="R25" s="128">
        <v>18.18</v>
      </c>
      <c r="S25" s="130"/>
      <c r="T25" s="130" t="s">
        <v>31</v>
      </c>
      <c r="U25" s="131"/>
    </row>
    <row r="26" spans="1:21" ht="15.75" hidden="1" thickBot="1">
      <c r="A26" s="45">
        <v>1014</v>
      </c>
      <c r="B26" s="45">
        <v>1015</v>
      </c>
      <c r="C26" s="123"/>
      <c r="D26" s="123"/>
      <c r="E26" s="123"/>
      <c r="F26" s="123"/>
      <c r="G26" s="127" t="s">
        <v>20</v>
      </c>
      <c r="H26" s="128">
        <v>2004</v>
      </c>
      <c r="I26" s="128" t="s">
        <v>21</v>
      </c>
      <c r="J26" s="128">
        <f t="shared" si="0"/>
        <v>7</v>
      </c>
      <c r="K26" s="128" t="s">
        <v>1026</v>
      </c>
      <c r="L26" s="128" t="s">
        <v>30</v>
      </c>
      <c r="M26" s="129" t="s">
        <v>34</v>
      </c>
      <c r="N26" s="129" t="s">
        <v>28</v>
      </c>
      <c r="O26" s="129" t="s">
        <v>28</v>
      </c>
      <c r="P26" s="129" t="str">
        <f t="shared" si="1"/>
        <v>N/A</v>
      </c>
      <c r="Q26" s="128" t="s">
        <v>1027</v>
      </c>
      <c r="R26" s="128">
        <v>10.37</v>
      </c>
      <c r="S26" s="130"/>
      <c r="T26" s="130" t="s">
        <v>998</v>
      </c>
      <c r="U26" s="131"/>
    </row>
    <row r="27" spans="1:21" ht="15.75" hidden="1" thickBot="1">
      <c r="A27" s="45">
        <v>1014</v>
      </c>
      <c r="B27" s="45">
        <v>1015</v>
      </c>
      <c r="C27" s="133"/>
      <c r="D27" s="133"/>
      <c r="E27" s="133"/>
      <c r="F27" s="133"/>
      <c r="G27" s="127" t="s">
        <v>20</v>
      </c>
      <c r="H27" s="128">
        <v>2004</v>
      </c>
      <c r="I27" s="128" t="s">
        <v>21</v>
      </c>
      <c r="J27" s="128">
        <f t="shared" si="0"/>
        <v>7</v>
      </c>
      <c r="K27" s="128" t="s">
        <v>1028</v>
      </c>
      <c r="L27" s="128" t="s">
        <v>30</v>
      </c>
      <c r="M27" s="129" t="s">
        <v>1003</v>
      </c>
      <c r="N27" s="129" t="s">
        <v>28</v>
      </c>
      <c r="O27" s="129" t="s">
        <v>28</v>
      </c>
      <c r="P27" s="129" t="str">
        <f t="shared" si="1"/>
        <v>N/A</v>
      </c>
      <c r="Q27" s="128" t="s">
        <v>1004</v>
      </c>
      <c r="R27" s="128">
        <v>7.24</v>
      </c>
      <c r="S27" s="130"/>
      <c r="T27" s="130"/>
      <c r="U27" s="131"/>
    </row>
    <row r="28" spans="1:21" ht="15.75" hidden="1" thickBot="1">
      <c r="A28" s="45">
        <v>1011</v>
      </c>
      <c r="B28" s="45">
        <v>1012</v>
      </c>
      <c r="C28" s="123"/>
      <c r="D28" s="123"/>
      <c r="E28" s="123"/>
      <c r="F28" s="123"/>
      <c r="G28" s="127" t="s">
        <v>20</v>
      </c>
      <c r="H28" s="128">
        <v>2006</v>
      </c>
      <c r="I28" s="128" t="s">
        <v>21</v>
      </c>
      <c r="J28" s="128">
        <f t="shared" si="0"/>
        <v>6</v>
      </c>
      <c r="K28" s="128" t="s">
        <v>1029</v>
      </c>
      <c r="L28" s="128" t="s">
        <v>30</v>
      </c>
      <c r="M28" s="129" t="s">
        <v>31</v>
      </c>
      <c r="N28" s="129" t="s">
        <v>28</v>
      </c>
      <c r="O28" s="129" t="s">
        <v>28</v>
      </c>
      <c r="P28" s="129" t="str">
        <f t="shared" si="1"/>
        <v>N/A</v>
      </c>
      <c r="Q28" s="128" t="s">
        <v>1030</v>
      </c>
      <c r="R28" s="128">
        <v>11.97</v>
      </c>
      <c r="S28" s="130"/>
      <c r="T28" s="130" t="s">
        <v>31</v>
      </c>
      <c r="U28" s="131"/>
    </row>
    <row r="29" spans="1:21" ht="15.75" hidden="1" thickBot="1">
      <c r="A29" s="45">
        <v>1011</v>
      </c>
      <c r="B29" s="45">
        <v>1012</v>
      </c>
      <c r="C29" s="123"/>
      <c r="D29" s="123"/>
      <c r="E29" s="123"/>
      <c r="F29" s="123"/>
      <c r="G29" s="127" t="s">
        <v>20</v>
      </c>
      <c r="H29" s="128">
        <v>2006</v>
      </c>
      <c r="I29" s="128" t="s">
        <v>21</v>
      </c>
      <c r="J29" s="128">
        <f t="shared" si="0"/>
        <v>6</v>
      </c>
      <c r="K29" s="128" t="s">
        <v>1031</v>
      </c>
      <c r="L29" s="128" t="s">
        <v>40</v>
      </c>
      <c r="M29" s="129" t="s">
        <v>1003</v>
      </c>
      <c r="N29" s="129" t="s">
        <v>28</v>
      </c>
      <c r="O29" s="129" t="s">
        <v>28</v>
      </c>
      <c r="P29" s="129" t="str">
        <f t="shared" si="1"/>
        <v>N/A</v>
      </c>
      <c r="Q29" s="132" t="s">
        <v>1032</v>
      </c>
      <c r="R29" s="128">
        <v>14.04</v>
      </c>
      <c r="S29" s="130"/>
      <c r="T29" s="130"/>
      <c r="U29" s="131"/>
    </row>
    <row r="30" spans="1:21" ht="15.75" hidden="1" thickBot="1">
      <c r="A30" s="45">
        <v>1011</v>
      </c>
      <c r="B30" s="45">
        <v>1012</v>
      </c>
      <c r="C30" s="123"/>
      <c r="D30" s="123"/>
      <c r="E30" s="123"/>
      <c r="F30" s="123"/>
      <c r="G30" s="127" t="s">
        <v>20</v>
      </c>
      <c r="H30" s="128">
        <v>2006</v>
      </c>
      <c r="I30" s="128" t="s">
        <v>21</v>
      </c>
      <c r="J30" s="128">
        <f t="shared" si="0"/>
        <v>6</v>
      </c>
      <c r="K30" s="128" t="s">
        <v>33</v>
      </c>
      <c r="L30" s="128" t="s">
        <v>30</v>
      </c>
      <c r="M30" s="129" t="s">
        <v>31</v>
      </c>
      <c r="N30" s="129" t="s">
        <v>32</v>
      </c>
      <c r="O30" s="129" t="s">
        <v>32</v>
      </c>
      <c r="P30" s="129" t="str">
        <f t="shared" si="1"/>
        <v>Y</v>
      </c>
      <c r="Q30" s="130"/>
      <c r="R30" s="128">
        <v>24.42</v>
      </c>
      <c r="S30" s="130"/>
      <c r="T30" s="130"/>
      <c r="U30" s="131"/>
    </row>
    <row r="31" spans="1:21" ht="15.75" hidden="1" thickBot="1">
      <c r="A31" s="45">
        <v>1011</v>
      </c>
      <c r="B31" s="45">
        <v>1012</v>
      </c>
      <c r="C31" s="133"/>
      <c r="D31" s="133"/>
      <c r="E31" s="133"/>
      <c r="F31" s="133"/>
      <c r="G31" s="127" t="s">
        <v>20</v>
      </c>
      <c r="H31" s="128">
        <v>2006</v>
      </c>
      <c r="I31" s="128" t="s">
        <v>21</v>
      </c>
      <c r="J31" s="128">
        <f t="shared" si="0"/>
        <v>6</v>
      </c>
      <c r="K31" s="128" t="s">
        <v>44</v>
      </c>
      <c r="L31" s="128" t="s">
        <v>40</v>
      </c>
      <c r="M31" s="129" t="s">
        <v>34</v>
      </c>
      <c r="N31" s="129" t="s">
        <v>32</v>
      </c>
      <c r="O31" s="129" t="s">
        <v>28</v>
      </c>
      <c r="P31" s="129" t="str">
        <f t="shared" si="1"/>
        <v>N/A</v>
      </c>
      <c r="Q31" s="130"/>
      <c r="R31" s="128">
        <v>28.88</v>
      </c>
      <c r="S31" s="130"/>
      <c r="T31" s="130"/>
      <c r="U31" s="134" t="s">
        <v>1033</v>
      </c>
    </row>
    <row r="32" spans="1:21" ht="15.75" hidden="1" thickBot="1">
      <c r="A32" s="45">
        <v>1011</v>
      </c>
      <c r="B32" s="45">
        <v>1012</v>
      </c>
      <c r="C32" s="123"/>
      <c r="D32" s="123"/>
      <c r="E32" s="123"/>
      <c r="F32" s="123"/>
      <c r="G32" s="127" t="s">
        <v>20</v>
      </c>
      <c r="H32" s="128">
        <v>2006</v>
      </c>
      <c r="I32" s="128" t="s">
        <v>21</v>
      </c>
      <c r="J32" s="128">
        <f t="shared" si="0"/>
        <v>6</v>
      </c>
      <c r="K32" s="128" t="s">
        <v>1034</v>
      </c>
      <c r="L32" s="128" t="s">
        <v>30</v>
      </c>
      <c r="M32" s="129" t="s">
        <v>31</v>
      </c>
      <c r="N32" s="129" t="s">
        <v>28</v>
      </c>
      <c r="O32" s="129" t="s">
        <v>28</v>
      </c>
      <c r="P32" s="129" t="str">
        <f t="shared" si="1"/>
        <v>N/A</v>
      </c>
      <c r="Q32" s="128" t="s">
        <v>1035</v>
      </c>
      <c r="R32" s="128">
        <v>4.7699999999999996</v>
      </c>
      <c r="S32" s="130"/>
      <c r="T32" s="130" t="s">
        <v>31</v>
      </c>
      <c r="U32" s="131"/>
    </row>
    <row r="33" spans="1:21" ht="15.75" hidden="1" thickBot="1">
      <c r="A33" s="45">
        <v>1011</v>
      </c>
      <c r="B33" s="45">
        <v>1012</v>
      </c>
      <c r="C33" s="123"/>
      <c r="D33" s="123"/>
      <c r="E33" s="123"/>
      <c r="F33" s="123"/>
      <c r="G33" s="127" t="s">
        <v>20</v>
      </c>
      <c r="H33" s="128">
        <v>2006</v>
      </c>
      <c r="I33" s="128" t="s">
        <v>21</v>
      </c>
      <c r="J33" s="128">
        <f t="shared" si="0"/>
        <v>6</v>
      </c>
      <c r="K33" s="128" t="s">
        <v>1024</v>
      </c>
      <c r="L33" s="128" t="s">
        <v>40</v>
      </c>
      <c r="M33" s="129" t="s">
        <v>31</v>
      </c>
      <c r="N33" s="129" t="s">
        <v>28</v>
      </c>
      <c r="O33" s="129" t="s">
        <v>28</v>
      </c>
      <c r="P33" s="129" t="str">
        <f t="shared" si="1"/>
        <v>N/A</v>
      </c>
      <c r="Q33" s="128" t="s">
        <v>1025</v>
      </c>
      <c r="R33" s="128">
        <v>15.68</v>
      </c>
      <c r="S33" s="130"/>
      <c r="T33" s="130" t="s">
        <v>31</v>
      </c>
      <c r="U33" s="131"/>
    </row>
    <row r="34" spans="1:21" ht="15.75" hidden="1" thickBot="1">
      <c r="A34" s="45">
        <v>1013</v>
      </c>
      <c r="B34" s="133"/>
      <c r="C34" s="133"/>
      <c r="D34" s="133"/>
      <c r="E34" s="133"/>
      <c r="F34" s="133"/>
      <c r="G34" s="127" t="s">
        <v>20</v>
      </c>
      <c r="H34" s="128">
        <v>2006</v>
      </c>
      <c r="I34" s="128" t="s">
        <v>38</v>
      </c>
      <c r="J34" s="128">
        <f t="shared" si="0"/>
        <v>3</v>
      </c>
      <c r="K34" s="128" t="s">
        <v>48</v>
      </c>
      <c r="L34" s="128" t="s">
        <v>40</v>
      </c>
      <c r="M34" s="129" t="s">
        <v>31</v>
      </c>
      <c r="N34" s="129" t="s">
        <v>32</v>
      </c>
      <c r="O34" s="129" t="s">
        <v>32</v>
      </c>
      <c r="P34" s="129" t="str">
        <f t="shared" si="1"/>
        <v>Y</v>
      </c>
      <c r="Q34" s="130"/>
      <c r="R34" s="128">
        <v>60.42</v>
      </c>
      <c r="S34" s="130"/>
      <c r="T34" s="130"/>
      <c r="U34" s="131"/>
    </row>
    <row r="35" spans="1:21" ht="15.75" hidden="1" thickBot="1">
      <c r="A35" s="45">
        <v>1013</v>
      </c>
      <c r="B35" s="123"/>
      <c r="C35" s="123"/>
      <c r="D35" s="123"/>
      <c r="E35" s="123"/>
      <c r="F35" s="123"/>
      <c r="G35" s="127" t="s">
        <v>20</v>
      </c>
      <c r="H35" s="128">
        <v>2006</v>
      </c>
      <c r="I35" s="128" t="s">
        <v>38</v>
      </c>
      <c r="J35" s="128">
        <f t="shared" si="0"/>
        <v>3</v>
      </c>
      <c r="K35" s="128" t="s">
        <v>47</v>
      </c>
      <c r="L35" s="128" t="s">
        <v>30</v>
      </c>
      <c r="M35" s="129" t="s">
        <v>31</v>
      </c>
      <c r="N35" s="129" t="s">
        <v>28</v>
      </c>
      <c r="O35" s="129" t="s">
        <v>28</v>
      </c>
      <c r="P35" s="129" t="str">
        <f t="shared" si="1"/>
        <v>N/A</v>
      </c>
      <c r="Q35" s="130"/>
      <c r="R35" s="128">
        <v>32.39</v>
      </c>
      <c r="S35" s="130"/>
      <c r="T35" s="130"/>
      <c r="U35" s="131"/>
    </row>
    <row r="36" spans="1:21" ht="15.75" hidden="1" thickBot="1">
      <c r="A36" s="45">
        <v>1013</v>
      </c>
      <c r="B36" s="123"/>
      <c r="C36" s="123"/>
      <c r="D36" s="123"/>
      <c r="E36" s="123"/>
      <c r="F36" s="123"/>
      <c r="G36" s="127" t="s">
        <v>20</v>
      </c>
      <c r="H36" s="128">
        <v>2006</v>
      </c>
      <c r="I36" s="128" t="s">
        <v>38</v>
      </c>
      <c r="J36" s="128">
        <f t="shared" si="0"/>
        <v>3</v>
      </c>
      <c r="K36" s="128" t="s">
        <v>1036</v>
      </c>
      <c r="L36" s="128" t="s">
        <v>30</v>
      </c>
      <c r="M36" s="129" t="s">
        <v>31</v>
      </c>
      <c r="N36" s="129" t="s">
        <v>28</v>
      </c>
      <c r="O36" s="129" t="s">
        <v>28</v>
      </c>
      <c r="P36" s="129" t="str">
        <f t="shared" si="1"/>
        <v>N/A</v>
      </c>
      <c r="Q36" s="130"/>
      <c r="R36" s="128">
        <v>6.95</v>
      </c>
      <c r="S36" s="130"/>
      <c r="T36" s="130"/>
      <c r="U36" s="131"/>
    </row>
    <row r="37" spans="1:21" ht="15.75" hidden="1" thickBot="1">
      <c r="A37" s="45">
        <v>1009</v>
      </c>
      <c r="B37" s="45">
        <v>1010</v>
      </c>
      <c r="C37" s="123"/>
      <c r="D37" s="123"/>
      <c r="E37" s="123"/>
      <c r="F37" s="123"/>
      <c r="G37" s="127" t="s">
        <v>20</v>
      </c>
      <c r="H37" s="128">
        <v>2008</v>
      </c>
      <c r="I37" s="128" t="s">
        <v>21</v>
      </c>
      <c r="J37" s="128">
        <f t="shared" si="0"/>
        <v>4</v>
      </c>
      <c r="K37" s="128" t="s">
        <v>47</v>
      </c>
      <c r="L37" s="128" t="s">
        <v>30</v>
      </c>
      <c r="M37" s="129" t="s">
        <v>31</v>
      </c>
      <c r="N37" s="129" t="s">
        <v>32</v>
      </c>
      <c r="O37" s="129" t="s">
        <v>32</v>
      </c>
      <c r="P37" s="129" t="str">
        <f t="shared" si="1"/>
        <v>Y</v>
      </c>
      <c r="Q37" s="130"/>
      <c r="R37" s="128">
        <v>30.7</v>
      </c>
      <c r="S37" s="130"/>
      <c r="T37" s="130"/>
      <c r="U37" s="131"/>
    </row>
    <row r="38" spans="1:21" ht="15.75" hidden="1" thickBot="1">
      <c r="A38" s="45">
        <v>1009</v>
      </c>
      <c r="B38" s="45">
        <v>1010</v>
      </c>
      <c r="C38" s="123"/>
      <c r="D38" s="123"/>
      <c r="E38" s="123"/>
      <c r="F38" s="123"/>
      <c r="G38" s="127" t="s">
        <v>20</v>
      </c>
      <c r="H38" s="128">
        <v>2008</v>
      </c>
      <c r="I38" s="128" t="s">
        <v>21</v>
      </c>
      <c r="J38" s="128">
        <f t="shared" si="0"/>
        <v>4</v>
      </c>
      <c r="K38" s="128" t="s">
        <v>1037</v>
      </c>
      <c r="L38" s="128" t="s">
        <v>30</v>
      </c>
      <c r="M38" s="129" t="s">
        <v>31</v>
      </c>
      <c r="N38" s="129" t="s">
        <v>28</v>
      </c>
      <c r="O38" s="129" t="s">
        <v>28</v>
      </c>
      <c r="P38" s="129" t="str">
        <f t="shared" si="1"/>
        <v>N/A</v>
      </c>
      <c r="Q38" s="128" t="s">
        <v>1038</v>
      </c>
      <c r="R38" s="128">
        <v>16.260000000000002</v>
      </c>
      <c r="S38" s="130"/>
      <c r="T38" s="130" t="s">
        <v>31</v>
      </c>
      <c r="U38" s="131"/>
    </row>
    <row r="39" spans="1:21" ht="15.75" hidden="1" thickBot="1">
      <c r="A39" s="45">
        <v>1009</v>
      </c>
      <c r="B39" s="45">
        <v>1010</v>
      </c>
      <c r="C39" s="123"/>
      <c r="D39" s="123"/>
      <c r="E39" s="123"/>
      <c r="F39" s="123"/>
      <c r="G39" s="127" t="s">
        <v>20</v>
      </c>
      <c r="H39" s="128">
        <v>2008</v>
      </c>
      <c r="I39" s="128" t="s">
        <v>21</v>
      </c>
      <c r="J39" s="128">
        <f t="shared" si="0"/>
        <v>4</v>
      </c>
      <c r="K39" s="128" t="s">
        <v>46</v>
      </c>
      <c r="L39" s="128" t="s">
        <v>40</v>
      </c>
      <c r="M39" s="129" t="s">
        <v>201</v>
      </c>
      <c r="N39" s="129" t="s">
        <v>32</v>
      </c>
      <c r="O39" s="129" t="s">
        <v>32</v>
      </c>
      <c r="P39" s="129" t="str">
        <f t="shared" si="1"/>
        <v>Y</v>
      </c>
      <c r="Q39" s="130"/>
      <c r="R39" s="128">
        <v>29.1</v>
      </c>
      <c r="S39" s="130"/>
      <c r="T39" s="130"/>
      <c r="U39" s="131"/>
    </row>
    <row r="40" spans="1:21" ht="15.75" hidden="1" thickBot="1">
      <c r="A40" s="45">
        <v>1009</v>
      </c>
      <c r="B40" s="45">
        <v>1010</v>
      </c>
      <c r="C40" s="133"/>
      <c r="D40" s="133"/>
      <c r="E40" s="133"/>
      <c r="F40" s="133"/>
      <c r="G40" s="127" t="s">
        <v>20</v>
      </c>
      <c r="H40" s="128">
        <v>2008</v>
      </c>
      <c r="I40" s="128" t="s">
        <v>21</v>
      </c>
      <c r="J40" s="128">
        <f t="shared" si="0"/>
        <v>4</v>
      </c>
      <c r="K40" s="128" t="s">
        <v>1039</v>
      </c>
      <c r="L40" s="128" t="s">
        <v>40</v>
      </c>
      <c r="M40" s="129" t="s">
        <v>31</v>
      </c>
      <c r="N40" s="129" t="s">
        <v>28</v>
      </c>
      <c r="O40" s="129" t="s">
        <v>28</v>
      </c>
      <c r="P40" s="129" t="str">
        <f t="shared" si="1"/>
        <v>N/A</v>
      </c>
      <c r="Q40" s="130"/>
      <c r="R40" s="128">
        <v>23.63</v>
      </c>
      <c r="S40" s="130"/>
      <c r="T40" s="130"/>
      <c r="U40" s="135" t="s">
        <v>1040</v>
      </c>
    </row>
    <row r="41" spans="1:21" ht="15.75" hidden="1" thickBot="1">
      <c r="A41" s="45">
        <v>1006</v>
      </c>
      <c r="B41" s="45">
        <v>1007</v>
      </c>
      <c r="C41" s="123"/>
      <c r="D41" s="123"/>
      <c r="E41" s="123"/>
      <c r="F41" s="123"/>
      <c r="G41" s="127" t="s">
        <v>20</v>
      </c>
      <c r="H41" s="128">
        <v>2010</v>
      </c>
      <c r="I41" s="128" t="s">
        <v>21</v>
      </c>
      <c r="J41" s="128">
        <f t="shared" si="0"/>
        <v>8</v>
      </c>
      <c r="K41" s="128" t="s">
        <v>1041</v>
      </c>
      <c r="L41" s="128" t="s">
        <v>30</v>
      </c>
      <c r="M41" s="129" t="s">
        <v>31</v>
      </c>
      <c r="N41" s="129" t="s">
        <v>28</v>
      </c>
      <c r="O41" s="129" t="s">
        <v>28</v>
      </c>
      <c r="P41" s="129" t="str">
        <f t="shared" si="1"/>
        <v>N/A</v>
      </c>
      <c r="Q41" s="128" t="s">
        <v>1042</v>
      </c>
      <c r="R41" s="128">
        <v>5.13</v>
      </c>
      <c r="S41" s="130"/>
      <c r="T41" s="130" t="s">
        <v>31</v>
      </c>
      <c r="U41" s="131"/>
    </row>
    <row r="42" spans="1:21" ht="15.75" hidden="1" thickBot="1">
      <c r="A42" s="45">
        <v>1006</v>
      </c>
      <c r="B42" s="45">
        <v>1007</v>
      </c>
      <c r="C42" s="123"/>
      <c r="D42" s="123"/>
      <c r="E42" s="123"/>
      <c r="F42" s="123"/>
      <c r="G42" s="127" t="s">
        <v>20</v>
      </c>
      <c r="H42" s="128">
        <v>2010</v>
      </c>
      <c r="I42" s="128" t="s">
        <v>21</v>
      </c>
      <c r="J42" s="128">
        <f t="shared" si="0"/>
        <v>8</v>
      </c>
      <c r="K42" s="128" t="s">
        <v>48</v>
      </c>
      <c r="L42" s="128" t="s">
        <v>40</v>
      </c>
      <c r="M42" s="129" t="s">
        <v>31</v>
      </c>
      <c r="N42" s="129" t="s">
        <v>28</v>
      </c>
      <c r="O42" s="129" t="s">
        <v>28</v>
      </c>
      <c r="P42" s="129" t="str">
        <f t="shared" si="1"/>
        <v>N/A</v>
      </c>
      <c r="Q42" s="128" t="s">
        <v>1043</v>
      </c>
      <c r="R42" s="128">
        <v>17.190000000000001</v>
      </c>
      <c r="S42" s="130"/>
      <c r="T42" s="130" t="s">
        <v>31</v>
      </c>
      <c r="U42" s="131"/>
    </row>
    <row r="43" spans="1:21" ht="15.75" hidden="1" thickBot="1">
      <c r="A43" s="45">
        <v>1006</v>
      </c>
      <c r="B43" s="45">
        <v>1007</v>
      </c>
      <c r="C43" s="123"/>
      <c r="D43" s="123"/>
      <c r="E43" s="123"/>
      <c r="F43" s="123"/>
      <c r="G43" s="127" t="s">
        <v>20</v>
      </c>
      <c r="H43" s="128">
        <v>2010</v>
      </c>
      <c r="I43" s="128" t="s">
        <v>21</v>
      </c>
      <c r="J43" s="128">
        <f t="shared" si="0"/>
        <v>8</v>
      </c>
      <c r="K43" s="128" t="s">
        <v>1018</v>
      </c>
      <c r="L43" s="128" t="s">
        <v>40</v>
      </c>
      <c r="M43" s="129" t="s">
        <v>31</v>
      </c>
      <c r="N43" s="129" t="s">
        <v>28</v>
      </c>
      <c r="O43" s="129" t="s">
        <v>28</v>
      </c>
      <c r="P43" s="129" t="str">
        <f t="shared" si="1"/>
        <v>N/A</v>
      </c>
      <c r="Q43" s="128" t="s">
        <v>1044</v>
      </c>
      <c r="R43" s="128">
        <v>15.7</v>
      </c>
      <c r="S43" s="130"/>
      <c r="T43" s="130" t="s">
        <v>31</v>
      </c>
      <c r="U43" s="131"/>
    </row>
    <row r="44" spans="1:21" ht="15.75" hidden="1" thickBot="1">
      <c r="A44" s="45">
        <v>1006</v>
      </c>
      <c r="B44" s="45">
        <v>1007</v>
      </c>
      <c r="C44" s="123"/>
      <c r="D44" s="123"/>
      <c r="E44" s="123"/>
      <c r="F44" s="123"/>
      <c r="G44" s="127" t="s">
        <v>20</v>
      </c>
      <c r="H44" s="128">
        <v>2010</v>
      </c>
      <c r="I44" s="128" t="s">
        <v>21</v>
      </c>
      <c r="J44" s="128">
        <f t="shared" si="0"/>
        <v>8</v>
      </c>
      <c r="K44" s="128" t="s">
        <v>1045</v>
      </c>
      <c r="L44" s="128" t="s">
        <v>30</v>
      </c>
      <c r="M44" s="129" t="s">
        <v>31</v>
      </c>
      <c r="N44" s="129" t="s">
        <v>28</v>
      </c>
      <c r="O44" s="129" t="s">
        <v>28</v>
      </c>
      <c r="P44" s="129" t="str">
        <f t="shared" si="1"/>
        <v>N/A</v>
      </c>
      <c r="Q44" s="128" t="s">
        <v>1046</v>
      </c>
      <c r="R44" s="128">
        <v>4.2</v>
      </c>
      <c r="S44" s="130"/>
      <c r="T44" s="130" t="s">
        <v>31</v>
      </c>
      <c r="U44" s="131"/>
    </row>
    <row r="45" spans="1:21" ht="51.75" hidden="1" thickBot="1">
      <c r="A45" s="45">
        <v>1006</v>
      </c>
      <c r="B45" s="45">
        <v>1007</v>
      </c>
      <c r="C45" s="123"/>
      <c r="D45" s="123"/>
      <c r="E45" s="123"/>
      <c r="F45" s="123"/>
      <c r="G45" s="127" t="s">
        <v>20</v>
      </c>
      <c r="H45" s="128">
        <v>2010</v>
      </c>
      <c r="I45" s="128" t="s">
        <v>21</v>
      </c>
      <c r="J45" s="128">
        <f t="shared" si="0"/>
        <v>8</v>
      </c>
      <c r="K45" s="128" t="s">
        <v>44</v>
      </c>
      <c r="L45" s="128" t="s">
        <v>40</v>
      </c>
      <c r="M45" s="129" t="s">
        <v>34</v>
      </c>
      <c r="N45" s="129" t="s">
        <v>32</v>
      </c>
      <c r="O45" s="129" t="s">
        <v>32</v>
      </c>
      <c r="P45" s="129" t="str">
        <f t="shared" si="1"/>
        <v>Y</v>
      </c>
      <c r="Q45" s="128" t="s">
        <v>1047</v>
      </c>
      <c r="R45" s="128">
        <v>17.34</v>
      </c>
      <c r="S45" s="130"/>
      <c r="T45" s="130" t="s">
        <v>1048</v>
      </c>
      <c r="U45" s="131"/>
    </row>
    <row r="46" spans="1:21" ht="15.75" hidden="1" thickBot="1">
      <c r="A46" s="45">
        <v>1006</v>
      </c>
      <c r="B46" s="45">
        <v>1007</v>
      </c>
      <c r="C46" s="123"/>
      <c r="D46" s="123"/>
      <c r="E46" s="123"/>
      <c r="F46" s="123"/>
      <c r="G46" s="127" t="s">
        <v>20</v>
      </c>
      <c r="H46" s="128">
        <v>2010</v>
      </c>
      <c r="I46" s="128" t="s">
        <v>21</v>
      </c>
      <c r="J46" s="128">
        <f t="shared" si="0"/>
        <v>8</v>
      </c>
      <c r="K46" s="128" t="s">
        <v>42</v>
      </c>
      <c r="L46" s="128" t="s">
        <v>40</v>
      </c>
      <c r="M46" s="129" t="s">
        <v>31</v>
      </c>
      <c r="N46" s="129" t="s">
        <v>28</v>
      </c>
      <c r="O46" s="129" t="s">
        <v>28</v>
      </c>
      <c r="P46" s="129" t="str">
        <f t="shared" si="1"/>
        <v>N/A</v>
      </c>
      <c r="Q46" s="130"/>
      <c r="R46" s="128">
        <v>12.44</v>
      </c>
      <c r="S46" s="130"/>
      <c r="T46" s="130"/>
      <c r="U46" s="131"/>
    </row>
    <row r="47" spans="1:21" ht="26.25" hidden="1" thickBot="1">
      <c r="A47" s="45">
        <v>1006</v>
      </c>
      <c r="B47" s="45">
        <v>1007</v>
      </c>
      <c r="C47" s="133"/>
      <c r="D47" s="133"/>
      <c r="E47" s="133"/>
      <c r="F47" s="133"/>
      <c r="G47" s="127" t="s">
        <v>20</v>
      </c>
      <c r="H47" s="128">
        <v>2010</v>
      </c>
      <c r="I47" s="128" t="s">
        <v>21</v>
      </c>
      <c r="J47" s="128">
        <f t="shared" si="0"/>
        <v>8</v>
      </c>
      <c r="K47" s="128" t="s">
        <v>1049</v>
      </c>
      <c r="L47" s="128" t="s">
        <v>30</v>
      </c>
      <c r="M47" s="129" t="s">
        <v>34</v>
      </c>
      <c r="N47" s="129" t="s">
        <v>32</v>
      </c>
      <c r="O47" s="129" t="s">
        <v>28</v>
      </c>
      <c r="P47" s="129" t="str">
        <f t="shared" si="1"/>
        <v>N/A</v>
      </c>
      <c r="Q47" s="128" t="s">
        <v>1050</v>
      </c>
      <c r="R47" s="128">
        <v>20.51</v>
      </c>
      <c r="S47" s="130"/>
      <c r="T47" s="130" t="s">
        <v>1051</v>
      </c>
      <c r="U47" s="131"/>
    </row>
    <row r="48" spans="1:21" ht="15.75" hidden="1" thickBot="1">
      <c r="A48" s="45">
        <v>1006</v>
      </c>
      <c r="B48" s="45">
        <v>1007</v>
      </c>
      <c r="C48" s="123"/>
      <c r="D48" s="123"/>
      <c r="E48" s="123"/>
      <c r="F48" s="123"/>
      <c r="G48" s="127" t="s">
        <v>20</v>
      </c>
      <c r="H48" s="128">
        <v>2010</v>
      </c>
      <c r="I48" s="128" t="s">
        <v>21</v>
      </c>
      <c r="J48" s="128">
        <f t="shared" si="0"/>
        <v>8</v>
      </c>
      <c r="K48" s="128" t="s">
        <v>1039</v>
      </c>
      <c r="L48" s="128" t="s">
        <v>40</v>
      </c>
      <c r="M48" s="129" t="s">
        <v>31</v>
      </c>
      <c r="N48" s="129" t="s">
        <v>28</v>
      </c>
      <c r="O48" s="129" t="s">
        <v>28</v>
      </c>
      <c r="P48" s="129" t="str">
        <f t="shared" si="1"/>
        <v>N/A</v>
      </c>
      <c r="Q48" s="128" t="s">
        <v>1052</v>
      </c>
      <c r="R48" s="128">
        <v>7.19</v>
      </c>
      <c r="S48" s="130"/>
      <c r="T48" s="130" t="s">
        <v>31</v>
      </c>
      <c r="U48" s="135" t="s">
        <v>1040</v>
      </c>
    </row>
    <row r="49" spans="1:21" ht="15.75" hidden="1" thickBot="1">
      <c r="A49" s="45">
        <v>1008</v>
      </c>
      <c r="B49" s="123"/>
      <c r="C49" s="123"/>
      <c r="D49" s="123"/>
      <c r="E49" s="123"/>
      <c r="F49" s="123"/>
      <c r="G49" s="127" t="s">
        <v>20</v>
      </c>
      <c r="H49" s="128">
        <v>2010</v>
      </c>
      <c r="I49" s="128" t="s">
        <v>38</v>
      </c>
      <c r="J49" s="128">
        <f t="shared" si="0"/>
        <v>5</v>
      </c>
      <c r="K49" s="128" t="s">
        <v>47</v>
      </c>
      <c r="L49" s="128" t="s">
        <v>30</v>
      </c>
      <c r="M49" s="129" t="s">
        <v>31</v>
      </c>
      <c r="N49" s="129" t="s">
        <v>28</v>
      </c>
      <c r="O49" s="129" t="s">
        <v>28</v>
      </c>
      <c r="P49" s="129" t="str">
        <f t="shared" si="1"/>
        <v>N/A</v>
      </c>
      <c r="Q49" s="128" t="s">
        <v>1053</v>
      </c>
      <c r="R49" s="128">
        <v>23.3</v>
      </c>
      <c r="S49" s="130"/>
      <c r="T49" s="130" t="s">
        <v>31</v>
      </c>
      <c r="U49" s="131"/>
    </row>
    <row r="50" spans="1:21" ht="15.75" hidden="1" thickBot="1">
      <c r="A50" s="45">
        <v>1008</v>
      </c>
      <c r="B50" s="123"/>
      <c r="C50" s="123"/>
      <c r="D50" s="123"/>
      <c r="E50" s="123"/>
      <c r="F50" s="123"/>
      <c r="G50" s="127" t="s">
        <v>20</v>
      </c>
      <c r="H50" s="128">
        <v>2010</v>
      </c>
      <c r="I50" s="128" t="s">
        <v>38</v>
      </c>
      <c r="J50" s="128">
        <f t="shared" si="0"/>
        <v>5</v>
      </c>
      <c r="K50" s="128" t="s">
        <v>33</v>
      </c>
      <c r="L50" s="128" t="s">
        <v>30</v>
      </c>
      <c r="M50" s="129" t="s">
        <v>31</v>
      </c>
      <c r="N50" s="129" t="s">
        <v>28</v>
      </c>
      <c r="O50" s="129" t="s">
        <v>28</v>
      </c>
      <c r="P50" s="129" t="str">
        <f t="shared" si="1"/>
        <v>N/A</v>
      </c>
      <c r="Q50" s="128" t="s">
        <v>1054</v>
      </c>
      <c r="R50" s="128">
        <v>24.11</v>
      </c>
      <c r="S50" s="130"/>
      <c r="T50" s="130"/>
      <c r="U50" s="131"/>
    </row>
    <row r="51" spans="1:21" ht="15.75" hidden="1" thickBot="1">
      <c r="A51" s="45">
        <v>1008</v>
      </c>
      <c r="B51" s="133"/>
      <c r="C51" s="133"/>
      <c r="D51" s="133"/>
      <c r="E51" s="133"/>
      <c r="F51" s="133"/>
      <c r="G51" s="127" t="s">
        <v>20</v>
      </c>
      <c r="H51" s="128">
        <v>2010</v>
      </c>
      <c r="I51" s="128" t="s">
        <v>38</v>
      </c>
      <c r="J51" s="128">
        <f t="shared" si="0"/>
        <v>5</v>
      </c>
      <c r="K51" s="128" t="s">
        <v>1036</v>
      </c>
      <c r="L51" s="128" t="s">
        <v>30</v>
      </c>
      <c r="M51" s="129" t="s">
        <v>31</v>
      </c>
      <c r="N51" s="129" t="s">
        <v>28</v>
      </c>
      <c r="O51" s="129" t="s">
        <v>28</v>
      </c>
      <c r="P51" s="129" t="str">
        <f t="shared" si="1"/>
        <v>N/A</v>
      </c>
      <c r="Q51" s="128" t="s">
        <v>1055</v>
      </c>
      <c r="R51" s="128">
        <v>3.5</v>
      </c>
      <c r="S51" s="130"/>
      <c r="T51" s="130" t="s">
        <v>31</v>
      </c>
      <c r="U51" s="131"/>
    </row>
    <row r="52" spans="1:21" ht="15.75" hidden="1" thickBot="1">
      <c r="A52" s="45">
        <v>1008</v>
      </c>
      <c r="B52" s="123"/>
      <c r="C52" s="123"/>
      <c r="D52" s="123"/>
      <c r="E52" s="123"/>
      <c r="F52" s="123"/>
      <c r="G52" s="127" t="s">
        <v>20</v>
      </c>
      <c r="H52" s="128">
        <v>2010</v>
      </c>
      <c r="I52" s="128" t="s">
        <v>38</v>
      </c>
      <c r="J52" s="128">
        <f t="shared" si="0"/>
        <v>5</v>
      </c>
      <c r="K52" s="128" t="s">
        <v>46</v>
      </c>
      <c r="L52" s="128" t="s">
        <v>40</v>
      </c>
      <c r="M52" s="129" t="s">
        <v>201</v>
      </c>
      <c r="N52" s="129" t="s">
        <v>32</v>
      </c>
      <c r="O52" s="129" t="s">
        <v>28</v>
      </c>
      <c r="P52" s="129" t="str">
        <f t="shared" si="1"/>
        <v>N/A</v>
      </c>
      <c r="Q52" s="130"/>
      <c r="R52" s="128">
        <v>36.9</v>
      </c>
      <c r="S52" s="130"/>
      <c r="T52" s="130"/>
      <c r="U52" s="131"/>
    </row>
    <row r="53" spans="1:21" ht="15.75" hidden="1" thickBot="1">
      <c r="A53" s="45">
        <v>1008</v>
      </c>
      <c r="B53" s="123"/>
      <c r="C53" s="123"/>
      <c r="D53" s="123"/>
      <c r="E53" s="123"/>
      <c r="F53" s="123"/>
      <c r="G53" s="127" t="s">
        <v>20</v>
      </c>
      <c r="H53" s="128">
        <v>2010</v>
      </c>
      <c r="I53" s="128" t="s">
        <v>38</v>
      </c>
      <c r="J53" s="128">
        <f t="shared" si="0"/>
        <v>5</v>
      </c>
      <c r="K53" s="128" t="s">
        <v>43</v>
      </c>
      <c r="L53" s="128" t="s">
        <v>30</v>
      </c>
      <c r="M53" s="129" t="s">
        <v>34</v>
      </c>
      <c r="N53" s="129" t="s">
        <v>28</v>
      </c>
      <c r="O53" s="129" t="s">
        <v>28</v>
      </c>
      <c r="P53" s="129" t="str">
        <f t="shared" si="1"/>
        <v>N/A</v>
      </c>
      <c r="Q53" s="128" t="s">
        <v>1056</v>
      </c>
      <c r="R53" s="128">
        <v>11.82</v>
      </c>
      <c r="S53" s="130"/>
      <c r="T53" s="130"/>
      <c r="U53" s="131"/>
    </row>
    <row r="54" spans="1:21" ht="39" hidden="1" thickBot="1">
      <c r="A54" s="45">
        <v>1004</v>
      </c>
      <c r="B54" s="45">
        <v>1005</v>
      </c>
      <c r="C54" s="123"/>
      <c r="D54" s="123"/>
      <c r="E54" s="123"/>
      <c r="F54" s="123"/>
      <c r="G54" s="127" t="s">
        <v>20</v>
      </c>
      <c r="H54" s="128">
        <v>2012</v>
      </c>
      <c r="I54" s="128" t="s">
        <v>21</v>
      </c>
      <c r="J54" s="128">
        <f t="shared" si="0"/>
        <v>7</v>
      </c>
      <c r="K54" s="128" t="s">
        <v>1057</v>
      </c>
      <c r="L54" s="128" t="s">
        <v>30</v>
      </c>
      <c r="M54" s="129" t="s">
        <v>34</v>
      </c>
      <c r="N54" s="129" t="s">
        <v>28</v>
      </c>
      <c r="O54" s="129" t="s">
        <v>28</v>
      </c>
      <c r="P54" s="129" t="str">
        <f t="shared" si="1"/>
        <v>N/A</v>
      </c>
      <c r="Q54" s="128" t="s">
        <v>1058</v>
      </c>
      <c r="R54" s="128">
        <v>6.01</v>
      </c>
      <c r="S54" s="130"/>
      <c r="T54" s="130" t="s">
        <v>1059</v>
      </c>
      <c r="U54" s="131"/>
    </row>
    <row r="55" spans="1:21" ht="15.75" hidden="1" thickBot="1">
      <c r="A55" s="45">
        <v>1004</v>
      </c>
      <c r="B55" s="45">
        <v>1005</v>
      </c>
      <c r="C55" s="123"/>
      <c r="D55" s="123"/>
      <c r="E55" s="123"/>
      <c r="F55" s="123"/>
      <c r="G55" s="127" t="s">
        <v>20</v>
      </c>
      <c r="H55" s="128">
        <v>2012</v>
      </c>
      <c r="I55" s="128" t="s">
        <v>21</v>
      </c>
      <c r="J55" s="128">
        <f t="shared" si="0"/>
        <v>7</v>
      </c>
      <c r="K55" s="128" t="s">
        <v>1060</v>
      </c>
      <c r="L55" s="128" t="s">
        <v>40</v>
      </c>
      <c r="M55" s="129" t="s">
        <v>31</v>
      </c>
      <c r="N55" s="129" t="s">
        <v>28</v>
      </c>
      <c r="O55" s="129" t="s">
        <v>28</v>
      </c>
      <c r="P55" s="129" t="str">
        <f t="shared" si="1"/>
        <v>N/A</v>
      </c>
      <c r="Q55" s="132" t="s">
        <v>1061</v>
      </c>
      <c r="R55" s="128">
        <v>12.62</v>
      </c>
      <c r="S55" s="130"/>
      <c r="T55" s="130" t="s">
        <v>31</v>
      </c>
      <c r="U55" s="131"/>
    </row>
    <row r="56" spans="1:21" ht="15.75" hidden="1" thickBot="1">
      <c r="A56" s="45">
        <v>1004</v>
      </c>
      <c r="B56" s="45">
        <v>1005</v>
      </c>
      <c r="C56" s="123"/>
      <c r="D56" s="123"/>
      <c r="E56" s="123"/>
      <c r="F56" s="123"/>
      <c r="G56" s="127" t="s">
        <v>20</v>
      </c>
      <c r="H56" s="128">
        <v>2012</v>
      </c>
      <c r="I56" s="128" t="s">
        <v>21</v>
      </c>
      <c r="J56" s="128">
        <f t="shared" si="0"/>
        <v>7</v>
      </c>
      <c r="K56" s="128" t="s">
        <v>1062</v>
      </c>
      <c r="L56" s="128" t="s">
        <v>30</v>
      </c>
      <c r="M56" s="129" t="s">
        <v>31</v>
      </c>
      <c r="N56" s="129" t="s">
        <v>28</v>
      </c>
      <c r="O56" s="129" t="s">
        <v>28</v>
      </c>
      <c r="P56" s="129" t="str">
        <f t="shared" si="1"/>
        <v>N/A</v>
      </c>
      <c r="Q56" s="128" t="s">
        <v>1063</v>
      </c>
      <c r="R56" s="128">
        <v>15.59</v>
      </c>
      <c r="S56" s="130"/>
      <c r="T56" s="130" t="s">
        <v>31</v>
      </c>
      <c r="U56" s="131"/>
    </row>
    <row r="57" spans="1:21" ht="15.75" hidden="1" thickBot="1">
      <c r="A57" s="45">
        <v>1004</v>
      </c>
      <c r="B57" s="45">
        <v>1005</v>
      </c>
      <c r="C57" s="123"/>
      <c r="D57" s="123"/>
      <c r="E57" s="123"/>
      <c r="F57" s="123"/>
      <c r="G57" s="127" t="s">
        <v>20</v>
      </c>
      <c r="H57" s="128">
        <v>2012</v>
      </c>
      <c r="I57" s="128" t="s">
        <v>21</v>
      </c>
      <c r="J57" s="128">
        <f t="shared" si="0"/>
        <v>7</v>
      </c>
      <c r="K57" s="128" t="s">
        <v>1064</v>
      </c>
      <c r="L57" s="128" t="s">
        <v>40</v>
      </c>
      <c r="M57" s="129" t="s">
        <v>1065</v>
      </c>
      <c r="N57" s="129" t="s">
        <v>28</v>
      </c>
      <c r="O57" s="129" t="s">
        <v>28</v>
      </c>
      <c r="P57" s="129" t="str">
        <f t="shared" si="1"/>
        <v>N/A</v>
      </c>
      <c r="Q57" s="128" t="s">
        <v>1066</v>
      </c>
      <c r="R57" s="128">
        <v>5.09</v>
      </c>
      <c r="S57" s="130"/>
      <c r="T57" s="130" t="s">
        <v>1015</v>
      </c>
      <c r="U57" s="131"/>
    </row>
    <row r="58" spans="1:21" ht="15.75" hidden="1" thickBot="1">
      <c r="A58" s="45">
        <v>1004</v>
      </c>
      <c r="B58" s="45">
        <v>1005</v>
      </c>
      <c r="C58" s="123"/>
      <c r="D58" s="123"/>
      <c r="E58" s="123"/>
      <c r="F58" s="123"/>
      <c r="G58" s="127" t="s">
        <v>20</v>
      </c>
      <c r="H58" s="128">
        <v>2012</v>
      </c>
      <c r="I58" s="128" t="s">
        <v>21</v>
      </c>
      <c r="J58" s="128">
        <f t="shared" si="0"/>
        <v>7</v>
      </c>
      <c r="K58" s="128" t="s">
        <v>42</v>
      </c>
      <c r="L58" s="128" t="s">
        <v>40</v>
      </c>
      <c r="M58" s="129" t="s">
        <v>31</v>
      </c>
      <c r="N58" s="129" t="s">
        <v>32</v>
      </c>
      <c r="O58" s="129" t="s">
        <v>28</v>
      </c>
      <c r="P58" s="129" t="str">
        <f t="shared" si="1"/>
        <v>N/A</v>
      </c>
      <c r="Q58" s="128" t="s">
        <v>1067</v>
      </c>
      <c r="R58" s="128">
        <v>24.93</v>
      </c>
      <c r="S58" s="130"/>
      <c r="T58" s="130" t="s">
        <v>31</v>
      </c>
      <c r="U58" s="131"/>
    </row>
    <row r="59" spans="1:21" ht="15.75" hidden="1" thickBot="1">
      <c r="A59" s="45">
        <v>1004</v>
      </c>
      <c r="B59" s="45">
        <v>1005</v>
      </c>
      <c r="C59" s="133"/>
      <c r="D59" s="133"/>
      <c r="E59" s="133"/>
      <c r="F59" s="133"/>
      <c r="G59" s="127" t="s">
        <v>20</v>
      </c>
      <c r="H59" s="128">
        <v>2012</v>
      </c>
      <c r="I59" s="128" t="s">
        <v>21</v>
      </c>
      <c r="J59" s="128">
        <f t="shared" si="0"/>
        <v>7</v>
      </c>
      <c r="K59" s="128" t="s">
        <v>1068</v>
      </c>
      <c r="L59" s="128" t="s">
        <v>30</v>
      </c>
      <c r="M59" s="129" t="s">
        <v>34</v>
      </c>
      <c r="N59" s="129" t="s">
        <v>28</v>
      </c>
      <c r="O59" s="129" t="s">
        <v>28</v>
      </c>
      <c r="P59" s="129" t="str">
        <f t="shared" si="1"/>
        <v>N/A</v>
      </c>
      <c r="Q59" s="130"/>
      <c r="R59" s="128">
        <v>17.670000000000002</v>
      </c>
      <c r="S59" s="130"/>
      <c r="T59" s="130"/>
      <c r="U59" s="131"/>
    </row>
    <row r="60" spans="1:21" ht="15.75" hidden="1" thickBot="1">
      <c r="A60" s="45">
        <v>1004</v>
      </c>
      <c r="B60" s="45">
        <v>1005</v>
      </c>
      <c r="C60" s="123"/>
      <c r="D60" s="123"/>
      <c r="E60" s="123"/>
      <c r="F60" s="123"/>
      <c r="G60" s="127" t="s">
        <v>20</v>
      </c>
      <c r="H60" s="128">
        <v>2012</v>
      </c>
      <c r="I60" s="128" t="s">
        <v>21</v>
      </c>
      <c r="J60" s="128">
        <f t="shared" si="0"/>
        <v>7</v>
      </c>
      <c r="K60" s="128" t="s">
        <v>43</v>
      </c>
      <c r="L60" s="128" t="s">
        <v>30</v>
      </c>
      <c r="M60" s="129" t="s">
        <v>34</v>
      </c>
      <c r="N60" s="129" t="s">
        <v>32</v>
      </c>
      <c r="O60" s="129" t="s">
        <v>32</v>
      </c>
      <c r="P60" s="129" t="str">
        <f t="shared" si="1"/>
        <v>Y</v>
      </c>
      <c r="Q60" s="132" t="s">
        <v>1056</v>
      </c>
      <c r="R60" s="128">
        <v>17.899999999999999</v>
      </c>
      <c r="S60" s="130"/>
      <c r="T60" s="130" t="s">
        <v>1069</v>
      </c>
      <c r="U60" s="131"/>
    </row>
    <row r="61" spans="1:21" ht="15.75" thickBot="1">
      <c r="A61" s="45">
        <v>1001</v>
      </c>
      <c r="B61" s="123"/>
      <c r="C61" s="123"/>
      <c r="D61" s="123"/>
      <c r="E61" s="123"/>
      <c r="F61" s="123"/>
      <c r="G61" s="127" t="s">
        <v>20</v>
      </c>
      <c r="H61" s="128">
        <v>2014</v>
      </c>
      <c r="I61" s="128" t="s">
        <v>38</v>
      </c>
      <c r="J61" s="128">
        <f t="shared" si="0"/>
        <v>2</v>
      </c>
      <c r="K61" s="128" t="s">
        <v>46</v>
      </c>
      <c r="L61" s="128" t="s">
        <v>40</v>
      </c>
      <c r="M61" s="129" t="s">
        <v>201</v>
      </c>
      <c r="N61" s="129" t="s">
        <v>28</v>
      </c>
      <c r="O61" s="129" t="s">
        <v>32</v>
      </c>
      <c r="P61" s="129" t="str">
        <f t="shared" si="1"/>
        <v>N</v>
      </c>
      <c r="Q61" s="128" t="s">
        <v>1070</v>
      </c>
      <c r="R61" s="128">
        <v>49.55</v>
      </c>
      <c r="S61" s="130"/>
      <c r="T61" s="130" t="s">
        <v>998</v>
      </c>
      <c r="U61" s="131"/>
    </row>
    <row r="62" spans="1:21" ht="15.75" hidden="1" thickBot="1">
      <c r="A62" s="45">
        <v>1001</v>
      </c>
      <c r="B62" s="123"/>
      <c r="C62" s="123"/>
      <c r="D62" s="123"/>
      <c r="E62" s="123"/>
      <c r="F62" s="123"/>
      <c r="G62" s="127" t="s">
        <v>20</v>
      </c>
      <c r="H62" s="128">
        <v>2014</v>
      </c>
      <c r="I62" s="128" t="s">
        <v>38</v>
      </c>
      <c r="J62" s="128">
        <f t="shared" si="0"/>
        <v>2</v>
      </c>
      <c r="K62" s="128" t="s">
        <v>41</v>
      </c>
      <c r="L62" s="128" t="s">
        <v>40</v>
      </c>
      <c r="M62" s="129" t="s">
        <v>31</v>
      </c>
      <c r="N62" s="129" t="s">
        <v>32</v>
      </c>
      <c r="O62" s="129" t="s">
        <v>28</v>
      </c>
      <c r="P62" s="129" t="str">
        <f t="shared" si="1"/>
        <v>N/A</v>
      </c>
      <c r="Q62" s="128" t="s">
        <v>1071</v>
      </c>
      <c r="R62" s="128">
        <v>50.13</v>
      </c>
      <c r="S62" s="130"/>
      <c r="T62" s="130" t="s">
        <v>31</v>
      </c>
      <c r="U62" s="135" t="s">
        <v>1072</v>
      </c>
    </row>
    <row r="63" spans="1:21" ht="15.75" hidden="1" thickBot="1">
      <c r="A63" s="45">
        <v>1002</v>
      </c>
      <c r="B63" s="45">
        <v>1003</v>
      </c>
      <c r="C63" s="123"/>
      <c r="D63" s="123"/>
      <c r="E63" s="123"/>
      <c r="F63" s="123"/>
      <c r="G63" s="127" t="s">
        <v>20</v>
      </c>
      <c r="H63" s="128">
        <v>2014</v>
      </c>
      <c r="I63" s="128" t="s">
        <v>21</v>
      </c>
      <c r="J63" s="128">
        <f t="shared" si="0"/>
        <v>3</v>
      </c>
      <c r="K63" s="128" t="s">
        <v>33</v>
      </c>
      <c r="L63" s="128" t="s">
        <v>30</v>
      </c>
      <c r="M63" s="129" t="s">
        <v>31</v>
      </c>
      <c r="N63" s="129" t="s">
        <v>32</v>
      </c>
      <c r="O63" s="129" t="s">
        <v>28</v>
      </c>
      <c r="P63" s="129" t="str">
        <f t="shared" si="1"/>
        <v>N/A</v>
      </c>
      <c r="Q63" s="132" t="s">
        <v>1054</v>
      </c>
      <c r="R63" s="128">
        <v>36.299999999999997</v>
      </c>
      <c r="S63" s="130"/>
      <c r="T63" s="130" t="s">
        <v>31</v>
      </c>
      <c r="U63" s="131"/>
    </row>
    <row r="64" spans="1:21" ht="15.75" hidden="1" thickBot="1">
      <c r="A64" s="45">
        <v>1002</v>
      </c>
      <c r="B64" s="45">
        <v>1003</v>
      </c>
      <c r="C64" s="123"/>
      <c r="D64" s="123"/>
      <c r="E64" s="123"/>
      <c r="F64" s="123"/>
      <c r="G64" s="127" t="s">
        <v>20</v>
      </c>
      <c r="H64" s="128">
        <v>2014</v>
      </c>
      <c r="I64" s="128" t="s">
        <v>21</v>
      </c>
      <c r="J64" s="128">
        <f t="shared" si="0"/>
        <v>3</v>
      </c>
      <c r="K64" s="128" t="s">
        <v>37</v>
      </c>
      <c r="L64" s="128" t="s">
        <v>30</v>
      </c>
      <c r="M64" s="129" t="s">
        <v>31</v>
      </c>
      <c r="N64" s="129" t="s">
        <v>32</v>
      </c>
      <c r="O64" s="129" t="s">
        <v>28</v>
      </c>
      <c r="P64" s="129" t="str">
        <f t="shared" si="1"/>
        <v>N/A</v>
      </c>
      <c r="Q64" s="128" t="s">
        <v>1073</v>
      </c>
      <c r="R64" s="128">
        <v>33.450000000000003</v>
      </c>
      <c r="S64" s="130"/>
      <c r="T64" s="130" t="s">
        <v>31</v>
      </c>
      <c r="U64" s="131"/>
    </row>
    <row r="65" spans="1:21" ht="26.25" hidden="1" thickBot="1">
      <c r="A65" s="45">
        <v>1002</v>
      </c>
      <c r="B65" s="45">
        <v>1003</v>
      </c>
      <c r="C65" s="123"/>
      <c r="D65" s="123"/>
      <c r="E65" s="123"/>
      <c r="F65" s="123"/>
      <c r="G65" s="127" t="s">
        <v>20</v>
      </c>
      <c r="H65" s="128">
        <v>2014</v>
      </c>
      <c r="I65" s="128" t="s">
        <v>21</v>
      </c>
      <c r="J65" s="128">
        <f t="shared" si="0"/>
        <v>3</v>
      </c>
      <c r="K65" s="128" t="s">
        <v>1068</v>
      </c>
      <c r="L65" s="128" t="s">
        <v>30</v>
      </c>
      <c r="M65" s="129" t="s">
        <v>34</v>
      </c>
      <c r="N65" s="129" t="s">
        <v>28</v>
      </c>
      <c r="O65" s="129" t="s">
        <v>28</v>
      </c>
      <c r="P65" s="129" t="str">
        <f t="shared" si="1"/>
        <v>N/A</v>
      </c>
      <c r="Q65" s="128" t="s">
        <v>1074</v>
      </c>
      <c r="R65" s="128">
        <v>29.79</v>
      </c>
      <c r="S65" s="130"/>
      <c r="T65" s="130" t="s">
        <v>1051</v>
      </c>
      <c r="U65" s="131"/>
    </row>
    <row r="66" spans="1:21" ht="15.75" thickBot="1">
      <c r="A66" s="45">
        <v>1039</v>
      </c>
      <c r="B66" s="45">
        <v>1040</v>
      </c>
      <c r="C66" s="133"/>
      <c r="D66" s="133"/>
      <c r="E66" s="133"/>
      <c r="F66" s="133"/>
      <c r="G66" s="127" t="s">
        <v>52</v>
      </c>
      <c r="H66" s="128">
        <v>2000</v>
      </c>
      <c r="I66" s="128" t="s">
        <v>21</v>
      </c>
      <c r="J66" s="128">
        <f t="shared" ref="J66:J129" si="2">COUNTIF(A$2:A$2215, A66)</f>
        <v>2</v>
      </c>
      <c r="K66" s="128" t="s">
        <v>1075</v>
      </c>
      <c r="L66" s="128" t="s">
        <v>40</v>
      </c>
      <c r="M66" s="129" t="s">
        <v>31</v>
      </c>
      <c r="N66" s="129" t="s">
        <v>32</v>
      </c>
      <c r="O66" s="129"/>
      <c r="P66" s="129" t="str">
        <f t="shared" si="1"/>
        <v/>
      </c>
      <c r="Q66" s="130"/>
      <c r="R66" s="128">
        <v>54.46</v>
      </c>
      <c r="S66" s="130"/>
      <c r="T66" s="130"/>
      <c r="U66" s="136"/>
    </row>
    <row r="67" spans="1:21" ht="15.75" thickBot="1">
      <c r="A67" s="45">
        <v>1039</v>
      </c>
      <c r="B67" s="45">
        <v>1040</v>
      </c>
      <c r="C67" s="123"/>
      <c r="D67" s="123"/>
      <c r="E67" s="123"/>
      <c r="F67" s="123"/>
      <c r="G67" s="127" t="s">
        <v>52</v>
      </c>
      <c r="H67" s="128">
        <v>2000</v>
      </c>
      <c r="I67" s="128" t="s">
        <v>21</v>
      </c>
      <c r="J67" s="128">
        <f t="shared" si="2"/>
        <v>2</v>
      </c>
      <c r="K67" s="128" t="s">
        <v>57</v>
      </c>
      <c r="L67" s="128" t="s">
        <v>30</v>
      </c>
      <c r="M67" s="129" t="s">
        <v>31</v>
      </c>
      <c r="N67" s="129" t="s">
        <v>32</v>
      </c>
      <c r="O67" s="129"/>
      <c r="P67" s="129" t="str">
        <f t="shared" ref="P67:P130" si="3">IF(O67="N", "N/A", IF(AND(N67="N",  O67="Y"), "N", IF(AND(O67="Y", N67="Y"), "Y", "")))</f>
        <v/>
      </c>
      <c r="Q67" s="130"/>
      <c r="R67" s="128">
        <v>48.09</v>
      </c>
      <c r="S67" s="130"/>
      <c r="T67" s="130"/>
      <c r="U67" s="136"/>
    </row>
    <row r="68" spans="1:21" ht="15.75" hidden="1" thickBot="1">
      <c r="A68" s="45">
        <v>1036</v>
      </c>
      <c r="B68" s="45">
        <v>1037</v>
      </c>
      <c r="C68" s="123"/>
      <c r="D68" s="123"/>
      <c r="E68" s="123"/>
      <c r="F68" s="123"/>
      <c r="G68" s="127" t="s">
        <v>52</v>
      </c>
      <c r="H68" s="128">
        <v>2002</v>
      </c>
      <c r="I68" s="128" t="s">
        <v>21</v>
      </c>
      <c r="J68" s="128">
        <f t="shared" si="2"/>
        <v>11</v>
      </c>
      <c r="K68" s="128" t="s">
        <v>65</v>
      </c>
      <c r="L68" s="128" t="s">
        <v>30</v>
      </c>
      <c r="M68" s="129" t="s">
        <v>1003</v>
      </c>
      <c r="N68" s="129" t="s">
        <v>32</v>
      </c>
      <c r="O68" s="129" t="s">
        <v>28</v>
      </c>
      <c r="P68" s="129" t="str">
        <f t="shared" si="3"/>
        <v>N/A</v>
      </c>
      <c r="Q68" s="130"/>
      <c r="R68" s="128">
        <v>18.7</v>
      </c>
      <c r="S68" s="130"/>
      <c r="T68" s="130"/>
      <c r="U68" s="136"/>
    </row>
    <row r="69" spans="1:21" ht="15.75" thickBot="1">
      <c r="A69" s="45">
        <v>1036</v>
      </c>
      <c r="B69" s="45">
        <v>1037</v>
      </c>
      <c r="C69" s="123"/>
      <c r="D69" s="123"/>
      <c r="E69" s="123"/>
      <c r="F69" s="123"/>
      <c r="G69" s="127" t="s">
        <v>52</v>
      </c>
      <c r="H69" s="128">
        <v>2002</v>
      </c>
      <c r="I69" s="128" t="s">
        <v>21</v>
      </c>
      <c r="J69" s="128">
        <f t="shared" si="2"/>
        <v>11</v>
      </c>
      <c r="K69" s="128" t="s">
        <v>1076</v>
      </c>
      <c r="L69" s="128" t="s">
        <v>30</v>
      </c>
      <c r="M69" s="129" t="s">
        <v>31</v>
      </c>
      <c r="N69" s="129" t="s">
        <v>28</v>
      </c>
      <c r="O69" s="129"/>
      <c r="P69" s="129" t="str">
        <f t="shared" si="3"/>
        <v/>
      </c>
      <c r="Q69" s="128" t="s">
        <v>1077</v>
      </c>
      <c r="R69" s="128">
        <v>15.6</v>
      </c>
      <c r="S69" s="130"/>
      <c r="T69" s="130" t="s">
        <v>31</v>
      </c>
      <c r="U69" s="136"/>
    </row>
    <row r="70" spans="1:21" ht="15.75" thickBot="1">
      <c r="A70" s="45">
        <v>1036</v>
      </c>
      <c r="B70" s="45">
        <v>1037</v>
      </c>
      <c r="C70" s="133"/>
      <c r="D70" s="133"/>
      <c r="E70" s="133"/>
      <c r="F70" s="133"/>
      <c r="G70" s="127" t="s">
        <v>52</v>
      </c>
      <c r="H70" s="128">
        <v>2002</v>
      </c>
      <c r="I70" s="128" t="s">
        <v>21</v>
      </c>
      <c r="J70" s="128">
        <f t="shared" si="2"/>
        <v>11</v>
      </c>
      <c r="K70" s="128" t="s">
        <v>1078</v>
      </c>
      <c r="L70" s="128" t="s">
        <v>30</v>
      </c>
      <c r="M70" s="129" t="s">
        <v>31</v>
      </c>
      <c r="N70" s="129" t="s">
        <v>28</v>
      </c>
      <c r="O70" s="129"/>
      <c r="P70" s="129" t="str">
        <f t="shared" si="3"/>
        <v/>
      </c>
      <c r="Q70" s="128" t="s">
        <v>1079</v>
      </c>
      <c r="R70" s="128">
        <v>5.8</v>
      </c>
      <c r="S70" s="130"/>
      <c r="T70" s="130" t="s">
        <v>31</v>
      </c>
      <c r="U70" s="136"/>
    </row>
    <row r="71" spans="1:21" ht="15.75" thickBot="1">
      <c r="A71" s="45">
        <v>1036</v>
      </c>
      <c r="B71" s="45">
        <v>1037</v>
      </c>
      <c r="C71" s="123"/>
      <c r="D71" s="123"/>
      <c r="E71" s="123"/>
      <c r="F71" s="123"/>
      <c r="G71" s="127" t="s">
        <v>52</v>
      </c>
      <c r="H71" s="128">
        <v>2002</v>
      </c>
      <c r="I71" s="128" t="s">
        <v>21</v>
      </c>
      <c r="J71" s="128">
        <f t="shared" si="2"/>
        <v>11</v>
      </c>
      <c r="K71" s="128" t="s">
        <v>63</v>
      </c>
      <c r="L71" s="128" t="s">
        <v>30</v>
      </c>
      <c r="M71" s="129" t="s">
        <v>34</v>
      </c>
      <c r="N71" s="129" t="s">
        <v>28</v>
      </c>
      <c r="O71" s="129"/>
      <c r="P71" s="129" t="str">
        <f t="shared" si="3"/>
        <v/>
      </c>
      <c r="Q71" s="130"/>
      <c r="R71" s="128">
        <v>10.7</v>
      </c>
      <c r="S71" s="130"/>
      <c r="T71" s="130"/>
      <c r="U71" s="136"/>
    </row>
    <row r="72" spans="1:21" ht="15.75" thickBot="1">
      <c r="A72" s="45">
        <v>1036</v>
      </c>
      <c r="B72" s="45">
        <v>1037</v>
      </c>
      <c r="C72" s="123"/>
      <c r="D72" s="123"/>
      <c r="E72" s="123"/>
      <c r="F72" s="123"/>
      <c r="G72" s="127" t="s">
        <v>52</v>
      </c>
      <c r="H72" s="128">
        <v>2002</v>
      </c>
      <c r="I72" s="128" t="s">
        <v>21</v>
      </c>
      <c r="J72" s="128">
        <f t="shared" si="2"/>
        <v>11</v>
      </c>
      <c r="K72" s="128" t="s">
        <v>1080</v>
      </c>
      <c r="L72" s="128" t="s">
        <v>30</v>
      </c>
      <c r="M72" s="129" t="s">
        <v>31</v>
      </c>
      <c r="N72" s="129" t="s">
        <v>28</v>
      </c>
      <c r="O72" s="129"/>
      <c r="P72" s="129" t="str">
        <f t="shared" si="3"/>
        <v/>
      </c>
      <c r="Q72" s="128" t="s">
        <v>1081</v>
      </c>
      <c r="R72" s="128">
        <v>1.9</v>
      </c>
      <c r="S72" s="130"/>
      <c r="T72" s="130" t="s">
        <v>31</v>
      </c>
      <c r="U72" s="136"/>
    </row>
    <row r="73" spans="1:21" ht="15.75" thickBot="1">
      <c r="A73" s="45">
        <v>1036</v>
      </c>
      <c r="B73" s="45">
        <v>1037</v>
      </c>
      <c r="C73" s="123"/>
      <c r="D73" s="123"/>
      <c r="E73" s="123"/>
      <c r="F73" s="123"/>
      <c r="G73" s="127" t="s">
        <v>52</v>
      </c>
      <c r="H73" s="128">
        <v>2002</v>
      </c>
      <c r="I73" s="128" t="s">
        <v>21</v>
      </c>
      <c r="J73" s="128">
        <f t="shared" si="2"/>
        <v>11</v>
      </c>
      <c r="K73" s="128" t="s">
        <v>1082</v>
      </c>
      <c r="L73" s="128" t="s">
        <v>30</v>
      </c>
      <c r="M73" s="129" t="s">
        <v>31</v>
      </c>
      <c r="N73" s="129" t="s">
        <v>28</v>
      </c>
      <c r="O73" s="129"/>
      <c r="P73" s="129" t="str">
        <f t="shared" si="3"/>
        <v/>
      </c>
      <c r="Q73" s="128" t="s">
        <v>1083</v>
      </c>
      <c r="R73" s="128">
        <v>9.9</v>
      </c>
      <c r="S73" s="130"/>
      <c r="T73" s="130" t="s">
        <v>31</v>
      </c>
      <c r="U73" s="136"/>
    </row>
    <row r="74" spans="1:21" ht="15.75" thickBot="1">
      <c r="A74" s="45">
        <v>1036</v>
      </c>
      <c r="B74" s="45">
        <v>1037</v>
      </c>
      <c r="C74" s="123"/>
      <c r="D74" s="123"/>
      <c r="E74" s="123"/>
      <c r="F74" s="123"/>
      <c r="G74" s="127" t="s">
        <v>52</v>
      </c>
      <c r="H74" s="128">
        <v>2002</v>
      </c>
      <c r="I74" s="128" t="s">
        <v>21</v>
      </c>
      <c r="J74" s="128">
        <f t="shared" si="2"/>
        <v>11</v>
      </c>
      <c r="K74" s="128" t="s">
        <v>1084</v>
      </c>
      <c r="L74" s="128" t="s">
        <v>30</v>
      </c>
      <c r="M74" s="129" t="s">
        <v>1065</v>
      </c>
      <c r="N74" s="129" t="s">
        <v>28</v>
      </c>
      <c r="O74" s="129"/>
      <c r="P74" s="129" t="str">
        <f t="shared" si="3"/>
        <v/>
      </c>
      <c r="Q74" s="128" t="s">
        <v>1085</v>
      </c>
      <c r="R74" s="128">
        <v>8.6999999999999993</v>
      </c>
      <c r="S74" s="130"/>
      <c r="T74" s="130" t="s">
        <v>1015</v>
      </c>
      <c r="U74" s="136"/>
    </row>
    <row r="75" spans="1:21" ht="15.75" thickBot="1">
      <c r="A75" s="45">
        <v>1036</v>
      </c>
      <c r="B75" s="45">
        <v>1037</v>
      </c>
      <c r="C75" s="123"/>
      <c r="D75" s="123"/>
      <c r="E75" s="123"/>
      <c r="F75" s="123"/>
      <c r="G75" s="127" t="s">
        <v>52</v>
      </c>
      <c r="H75" s="128">
        <v>2002</v>
      </c>
      <c r="I75" s="128" t="s">
        <v>21</v>
      </c>
      <c r="J75" s="128">
        <f t="shared" si="2"/>
        <v>11</v>
      </c>
      <c r="K75" s="128" t="s">
        <v>67</v>
      </c>
      <c r="L75" s="128" t="s">
        <v>30</v>
      </c>
      <c r="M75" s="129" t="s">
        <v>1065</v>
      </c>
      <c r="N75" s="129" t="s">
        <v>32</v>
      </c>
      <c r="O75" s="129"/>
      <c r="P75" s="129" t="str">
        <f t="shared" si="3"/>
        <v/>
      </c>
      <c r="Q75" s="130"/>
      <c r="R75" s="128">
        <v>16.399999999999999</v>
      </c>
      <c r="S75" s="130"/>
      <c r="T75" s="130"/>
      <c r="U75" s="136"/>
    </row>
    <row r="76" spans="1:21" ht="15.75" thickBot="1">
      <c r="A76" s="45">
        <v>1036</v>
      </c>
      <c r="B76" s="45">
        <v>1037</v>
      </c>
      <c r="C76" s="123"/>
      <c r="D76" s="123"/>
      <c r="E76" s="123"/>
      <c r="F76" s="123"/>
      <c r="G76" s="127" t="s">
        <v>52</v>
      </c>
      <c r="H76" s="128">
        <v>2002</v>
      </c>
      <c r="I76" s="128" t="s">
        <v>21</v>
      </c>
      <c r="J76" s="128">
        <f t="shared" si="2"/>
        <v>11</v>
      </c>
      <c r="K76" s="128" t="s">
        <v>1086</v>
      </c>
      <c r="L76" s="128" t="s">
        <v>30</v>
      </c>
      <c r="M76" s="129" t="s">
        <v>1065</v>
      </c>
      <c r="N76" s="129" t="s">
        <v>28</v>
      </c>
      <c r="O76" s="129"/>
      <c r="P76" s="129" t="str">
        <f t="shared" si="3"/>
        <v/>
      </c>
      <c r="Q76" s="130"/>
      <c r="R76" s="128">
        <v>1.9</v>
      </c>
      <c r="S76" s="130"/>
      <c r="T76" s="130"/>
      <c r="U76" s="136"/>
    </row>
    <row r="77" spans="1:21" ht="15.75" thickBot="1">
      <c r="A77" s="45">
        <v>1036</v>
      </c>
      <c r="B77" s="45">
        <v>1037</v>
      </c>
      <c r="C77" s="123"/>
      <c r="D77" s="123"/>
      <c r="E77" s="123"/>
      <c r="F77" s="123"/>
      <c r="G77" s="127" t="s">
        <v>52</v>
      </c>
      <c r="H77" s="128">
        <v>2002</v>
      </c>
      <c r="I77" s="128" t="s">
        <v>21</v>
      </c>
      <c r="J77" s="128">
        <f t="shared" si="2"/>
        <v>11</v>
      </c>
      <c r="K77" s="128" t="s">
        <v>1087</v>
      </c>
      <c r="L77" s="128" t="s">
        <v>40</v>
      </c>
      <c r="M77" s="129" t="s">
        <v>31</v>
      </c>
      <c r="N77" s="129" t="s">
        <v>28</v>
      </c>
      <c r="O77" s="129"/>
      <c r="P77" s="129" t="str">
        <f t="shared" si="3"/>
        <v/>
      </c>
      <c r="Q77" s="130"/>
      <c r="R77" s="128">
        <v>7.7</v>
      </c>
      <c r="S77" s="130"/>
      <c r="T77" s="130"/>
      <c r="U77" s="136"/>
    </row>
    <row r="78" spans="1:21" ht="15.75" thickBot="1">
      <c r="A78" s="45">
        <v>1036</v>
      </c>
      <c r="B78" s="45">
        <v>1037</v>
      </c>
      <c r="C78" s="123"/>
      <c r="D78" s="123"/>
      <c r="E78" s="123"/>
      <c r="F78" s="123"/>
      <c r="G78" s="127" t="s">
        <v>52</v>
      </c>
      <c r="H78" s="128">
        <v>2002</v>
      </c>
      <c r="I78" s="128" t="s">
        <v>21</v>
      </c>
      <c r="J78" s="128">
        <f t="shared" si="2"/>
        <v>11</v>
      </c>
      <c r="K78" s="128" t="s">
        <v>1088</v>
      </c>
      <c r="L78" s="128" t="s">
        <v>30</v>
      </c>
      <c r="M78" s="129" t="s">
        <v>31</v>
      </c>
      <c r="N78" s="129" t="s">
        <v>28</v>
      </c>
      <c r="O78" s="129"/>
      <c r="P78" s="129" t="str">
        <f t="shared" si="3"/>
        <v/>
      </c>
      <c r="Q78" s="128" t="s">
        <v>1089</v>
      </c>
      <c r="R78" s="128">
        <v>2.6</v>
      </c>
      <c r="S78" s="130"/>
      <c r="T78" s="130" t="s">
        <v>31</v>
      </c>
      <c r="U78" s="136"/>
    </row>
    <row r="79" spans="1:21" ht="15.75" thickBot="1">
      <c r="A79" s="45">
        <v>1038</v>
      </c>
      <c r="B79" s="133"/>
      <c r="C79" s="133"/>
      <c r="D79" s="133"/>
      <c r="E79" s="133"/>
      <c r="F79" s="133"/>
      <c r="G79" s="127" t="s">
        <v>52</v>
      </c>
      <c r="H79" s="128">
        <v>2002</v>
      </c>
      <c r="I79" s="128" t="s">
        <v>38</v>
      </c>
      <c r="J79" s="128">
        <f t="shared" si="2"/>
        <v>4</v>
      </c>
      <c r="K79" s="128" t="s">
        <v>66</v>
      </c>
      <c r="L79" s="128" t="s">
        <v>30</v>
      </c>
      <c r="M79" s="129" t="s">
        <v>31</v>
      </c>
      <c r="N79" s="129" t="s">
        <v>32</v>
      </c>
      <c r="O79" s="129"/>
      <c r="P79" s="129" t="str">
        <f t="shared" si="3"/>
        <v/>
      </c>
      <c r="Q79" s="130"/>
      <c r="R79" s="128">
        <v>35.9</v>
      </c>
      <c r="S79" s="130"/>
      <c r="T79" s="130"/>
      <c r="U79" s="136"/>
    </row>
    <row r="80" spans="1:21" ht="15.75" thickBot="1">
      <c r="A80" s="45">
        <v>1038</v>
      </c>
      <c r="B80" s="123"/>
      <c r="C80" s="123"/>
      <c r="D80" s="123"/>
      <c r="E80" s="123"/>
      <c r="F80" s="123"/>
      <c r="G80" s="127" t="s">
        <v>52</v>
      </c>
      <c r="H80" s="128">
        <v>2002</v>
      </c>
      <c r="I80" s="128" t="s">
        <v>38</v>
      </c>
      <c r="J80" s="128">
        <f t="shared" si="2"/>
        <v>4</v>
      </c>
      <c r="K80" s="128" t="s">
        <v>1090</v>
      </c>
      <c r="L80" s="128" t="s">
        <v>30</v>
      </c>
      <c r="M80" s="129" t="s">
        <v>31</v>
      </c>
      <c r="N80" s="129" t="s">
        <v>28</v>
      </c>
      <c r="O80" s="129"/>
      <c r="P80" s="129" t="str">
        <f t="shared" si="3"/>
        <v/>
      </c>
      <c r="Q80" s="128" t="s">
        <v>1091</v>
      </c>
      <c r="R80" s="128">
        <v>21.7</v>
      </c>
      <c r="S80" s="130"/>
      <c r="T80" s="130" t="s">
        <v>31</v>
      </c>
      <c r="U80" s="136"/>
    </row>
    <row r="81" spans="1:21" ht="15.75" thickBot="1">
      <c r="A81" s="45">
        <v>1038</v>
      </c>
      <c r="B81" s="123"/>
      <c r="C81" s="123"/>
      <c r="D81" s="123"/>
      <c r="E81" s="123"/>
      <c r="F81" s="123"/>
      <c r="G81" s="127" t="s">
        <v>52</v>
      </c>
      <c r="H81" s="128">
        <v>2002</v>
      </c>
      <c r="I81" s="128" t="s">
        <v>38</v>
      </c>
      <c r="J81" s="128">
        <f t="shared" si="2"/>
        <v>4</v>
      </c>
      <c r="K81" s="128" t="s">
        <v>60</v>
      </c>
      <c r="L81" s="128" t="s">
        <v>40</v>
      </c>
      <c r="M81" s="129" t="s">
        <v>31</v>
      </c>
      <c r="N81" s="129" t="s">
        <v>28</v>
      </c>
      <c r="O81" s="129"/>
      <c r="P81" s="129" t="str">
        <f t="shared" si="3"/>
        <v/>
      </c>
      <c r="Q81" s="130"/>
      <c r="R81" s="128">
        <v>27</v>
      </c>
      <c r="S81" s="130"/>
      <c r="T81" s="130"/>
      <c r="U81" s="136"/>
    </row>
    <row r="82" spans="1:21" ht="15.75" thickBot="1">
      <c r="A82" s="45">
        <v>1038</v>
      </c>
      <c r="B82" s="123"/>
      <c r="C82" s="123"/>
      <c r="D82" s="123"/>
      <c r="E82" s="123"/>
      <c r="F82" s="123"/>
      <c r="G82" s="127" t="s">
        <v>52</v>
      </c>
      <c r="H82" s="128">
        <v>2002</v>
      </c>
      <c r="I82" s="128" t="s">
        <v>38</v>
      </c>
      <c r="J82" s="128">
        <f t="shared" si="2"/>
        <v>4</v>
      </c>
      <c r="K82" s="128" t="s">
        <v>1092</v>
      </c>
      <c r="L82" s="128" t="s">
        <v>30</v>
      </c>
      <c r="M82" s="129" t="s">
        <v>31</v>
      </c>
      <c r="N82" s="129" t="s">
        <v>28</v>
      </c>
      <c r="O82" s="129"/>
      <c r="P82" s="129" t="str">
        <f t="shared" si="3"/>
        <v/>
      </c>
      <c r="Q82" s="128" t="s">
        <v>1093</v>
      </c>
      <c r="R82" s="128">
        <v>15.4</v>
      </c>
      <c r="S82" s="130"/>
      <c r="T82" s="130" t="s">
        <v>31</v>
      </c>
      <c r="U82" s="136"/>
    </row>
    <row r="83" spans="1:21" ht="15.75" thickBot="1">
      <c r="A83" s="45">
        <v>1034</v>
      </c>
      <c r="B83" s="45">
        <v>1035</v>
      </c>
      <c r="C83" s="123"/>
      <c r="D83" s="123"/>
      <c r="E83" s="123"/>
      <c r="F83" s="123"/>
      <c r="G83" s="127" t="s">
        <v>52</v>
      </c>
      <c r="H83" s="128">
        <v>2004</v>
      </c>
      <c r="I83" s="128" t="s">
        <v>21</v>
      </c>
      <c r="J83" s="128">
        <f t="shared" si="2"/>
        <v>13</v>
      </c>
      <c r="K83" s="128" t="s">
        <v>1094</v>
      </c>
      <c r="L83" s="128" t="s">
        <v>40</v>
      </c>
      <c r="M83" s="129" t="s">
        <v>31</v>
      </c>
      <c r="N83" s="129" t="s">
        <v>28</v>
      </c>
      <c r="O83" s="129"/>
      <c r="P83" s="129" t="str">
        <f t="shared" si="3"/>
        <v/>
      </c>
      <c r="Q83" s="128" t="s">
        <v>1095</v>
      </c>
      <c r="R83" s="128">
        <v>6.2</v>
      </c>
      <c r="S83" s="130"/>
      <c r="T83" s="130" t="s">
        <v>31</v>
      </c>
      <c r="U83" s="136"/>
    </row>
    <row r="84" spans="1:21" ht="15.75" thickBot="1">
      <c r="A84" s="45">
        <v>1034</v>
      </c>
      <c r="B84" s="45">
        <v>1035</v>
      </c>
      <c r="C84" s="123"/>
      <c r="D84" s="123"/>
      <c r="E84" s="123"/>
      <c r="F84" s="123"/>
      <c r="G84" s="127" t="s">
        <v>52</v>
      </c>
      <c r="H84" s="128">
        <v>2004</v>
      </c>
      <c r="I84" s="128" t="s">
        <v>21</v>
      </c>
      <c r="J84" s="128">
        <f t="shared" si="2"/>
        <v>13</v>
      </c>
      <c r="K84" s="128" t="s">
        <v>1096</v>
      </c>
      <c r="L84" s="128" t="s">
        <v>30</v>
      </c>
      <c r="M84" s="129" t="s">
        <v>31</v>
      </c>
      <c r="N84" s="129" t="s">
        <v>28</v>
      </c>
      <c r="O84" s="129"/>
      <c r="P84" s="129" t="str">
        <f t="shared" si="3"/>
        <v/>
      </c>
      <c r="Q84" s="128" t="s">
        <v>1097</v>
      </c>
      <c r="R84" s="128">
        <v>1.1000000000000001</v>
      </c>
      <c r="S84" s="130"/>
      <c r="T84" s="130" t="s">
        <v>31</v>
      </c>
      <c r="U84" s="136"/>
    </row>
    <row r="85" spans="1:21" ht="15.75" thickBot="1">
      <c r="A85" s="45">
        <v>1034</v>
      </c>
      <c r="B85" s="45">
        <v>1035</v>
      </c>
      <c r="C85" s="123"/>
      <c r="D85" s="123"/>
      <c r="E85" s="123"/>
      <c r="F85" s="123"/>
      <c r="G85" s="127" t="s">
        <v>52</v>
      </c>
      <c r="H85" s="128">
        <v>2004</v>
      </c>
      <c r="I85" s="128" t="s">
        <v>21</v>
      </c>
      <c r="J85" s="128">
        <f t="shared" si="2"/>
        <v>13</v>
      </c>
      <c r="K85" s="128" t="s">
        <v>1098</v>
      </c>
      <c r="L85" s="128" t="s">
        <v>30</v>
      </c>
      <c r="M85" s="129" t="s">
        <v>1003</v>
      </c>
      <c r="N85" s="129" t="s">
        <v>28</v>
      </c>
      <c r="O85" s="129"/>
      <c r="P85" s="129" t="str">
        <f t="shared" si="3"/>
        <v/>
      </c>
      <c r="Q85" s="130"/>
      <c r="R85" s="128">
        <v>0.9</v>
      </c>
      <c r="S85" s="130"/>
      <c r="T85" s="130"/>
      <c r="U85" s="136"/>
    </row>
    <row r="86" spans="1:21" ht="15.75" thickBot="1">
      <c r="A86" s="45">
        <v>1034</v>
      </c>
      <c r="B86" s="45">
        <v>1035</v>
      </c>
      <c r="C86" s="123"/>
      <c r="D86" s="123"/>
      <c r="E86" s="123"/>
      <c r="F86" s="123"/>
      <c r="G86" s="127" t="s">
        <v>52</v>
      </c>
      <c r="H86" s="128">
        <v>2004</v>
      </c>
      <c r="I86" s="128" t="s">
        <v>21</v>
      </c>
      <c r="J86" s="128">
        <f t="shared" si="2"/>
        <v>13</v>
      </c>
      <c r="K86" s="128" t="s">
        <v>1099</v>
      </c>
      <c r="L86" s="128" t="s">
        <v>30</v>
      </c>
      <c r="M86" s="129" t="s">
        <v>31</v>
      </c>
      <c r="N86" s="129" t="s">
        <v>28</v>
      </c>
      <c r="O86" s="129"/>
      <c r="P86" s="129" t="str">
        <f t="shared" si="3"/>
        <v/>
      </c>
      <c r="Q86" s="128" t="s">
        <v>1100</v>
      </c>
      <c r="R86" s="128">
        <v>5.5</v>
      </c>
      <c r="S86" s="130"/>
      <c r="T86" s="130" t="s">
        <v>31</v>
      </c>
      <c r="U86" s="136"/>
    </row>
    <row r="87" spans="1:21" ht="15.75" hidden="1" thickBot="1">
      <c r="A87" s="45">
        <v>1034</v>
      </c>
      <c r="B87" s="45">
        <v>1035</v>
      </c>
      <c r="C87" s="133"/>
      <c r="D87" s="133"/>
      <c r="E87" s="133"/>
      <c r="F87" s="133"/>
      <c r="G87" s="127" t="s">
        <v>52</v>
      </c>
      <c r="H87" s="128">
        <v>2004</v>
      </c>
      <c r="I87" s="128" t="s">
        <v>21</v>
      </c>
      <c r="J87" s="128">
        <f t="shared" si="2"/>
        <v>13</v>
      </c>
      <c r="K87" s="128" t="s">
        <v>63</v>
      </c>
      <c r="L87" s="128" t="s">
        <v>30</v>
      </c>
      <c r="M87" s="129" t="s">
        <v>34</v>
      </c>
      <c r="N87" s="129" t="s">
        <v>32</v>
      </c>
      <c r="O87" s="129" t="s">
        <v>28</v>
      </c>
      <c r="P87" s="129" t="str">
        <f t="shared" si="3"/>
        <v>N/A</v>
      </c>
      <c r="Q87" s="130"/>
      <c r="R87" s="128">
        <v>18.399999999999999</v>
      </c>
      <c r="S87" s="130"/>
      <c r="T87" s="130"/>
      <c r="U87" s="136"/>
    </row>
    <row r="88" spans="1:21" ht="15.75" thickBot="1">
      <c r="A88" s="45">
        <v>1034</v>
      </c>
      <c r="B88" s="45">
        <v>1035</v>
      </c>
      <c r="C88" s="123"/>
      <c r="D88" s="123"/>
      <c r="E88" s="123"/>
      <c r="F88" s="123"/>
      <c r="G88" s="127" t="s">
        <v>52</v>
      </c>
      <c r="H88" s="128">
        <v>2004</v>
      </c>
      <c r="I88" s="128" t="s">
        <v>21</v>
      </c>
      <c r="J88" s="128">
        <f t="shared" si="2"/>
        <v>13</v>
      </c>
      <c r="K88" s="128" t="s">
        <v>1101</v>
      </c>
      <c r="L88" s="128" t="s">
        <v>30</v>
      </c>
      <c r="M88" s="129" t="s">
        <v>31</v>
      </c>
      <c r="N88" s="129" t="s">
        <v>28</v>
      </c>
      <c r="O88" s="129"/>
      <c r="P88" s="129" t="str">
        <f t="shared" si="3"/>
        <v/>
      </c>
      <c r="Q88" s="128" t="s">
        <v>1102</v>
      </c>
      <c r="R88" s="128">
        <v>14.4</v>
      </c>
      <c r="S88" s="130"/>
      <c r="T88" s="130" t="s">
        <v>31</v>
      </c>
      <c r="U88" s="136"/>
    </row>
    <row r="89" spans="1:21" ht="15.75" thickBot="1">
      <c r="A89" s="45">
        <v>1034</v>
      </c>
      <c r="B89" s="45">
        <v>1035</v>
      </c>
      <c r="C89" s="123"/>
      <c r="D89" s="123"/>
      <c r="E89" s="123"/>
      <c r="F89" s="123"/>
      <c r="G89" s="127" t="s">
        <v>52</v>
      </c>
      <c r="H89" s="128">
        <v>2004</v>
      </c>
      <c r="I89" s="128" t="s">
        <v>21</v>
      </c>
      <c r="J89" s="128">
        <f t="shared" si="2"/>
        <v>13</v>
      </c>
      <c r="K89" s="128" t="s">
        <v>1103</v>
      </c>
      <c r="L89" s="128" t="s">
        <v>30</v>
      </c>
      <c r="M89" s="129" t="s">
        <v>31</v>
      </c>
      <c r="N89" s="129" t="s">
        <v>28</v>
      </c>
      <c r="O89" s="129"/>
      <c r="P89" s="129" t="str">
        <f t="shared" si="3"/>
        <v/>
      </c>
      <c r="Q89" s="130"/>
      <c r="R89" s="128">
        <v>1.7</v>
      </c>
      <c r="S89" s="130"/>
      <c r="T89" s="130"/>
      <c r="U89" s="136"/>
    </row>
    <row r="90" spans="1:21" ht="15.75" thickBot="1">
      <c r="A90" s="45">
        <v>1034</v>
      </c>
      <c r="B90" s="45">
        <v>1035</v>
      </c>
      <c r="C90" s="133"/>
      <c r="D90" s="133"/>
      <c r="E90" s="133"/>
      <c r="F90" s="133"/>
      <c r="G90" s="127" t="s">
        <v>52</v>
      </c>
      <c r="H90" s="128">
        <v>2004</v>
      </c>
      <c r="I90" s="128" t="s">
        <v>21</v>
      </c>
      <c r="J90" s="128">
        <f t="shared" si="2"/>
        <v>13</v>
      </c>
      <c r="K90" s="128" t="s">
        <v>64</v>
      </c>
      <c r="L90" s="128" t="s">
        <v>40</v>
      </c>
      <c r="M90" s="129" t="s">
        <v>34</v>
      </c>
      <c r="N90" s="129" t="s">
        <v>32</v>
      </c>
      <c r="O90" s="129"/>
      <c r="P90" s="129" t="str">
        <f t="shared" si="3"/>
        <v/>
      </c>
      <c r="Q90" s="130"/>
      <c r="R90" s="128">
        <v>18.8</v>
      </c>
      <c r="S90" s="130"/>
      <c r="T90" s="130"/>
      <c r="U90" s="136"/>
    </row>
    <row r="91" spans="1:21" ht="15.75" thickBot="1">
      <c r="A91" s="45">
        <v>1034</v>
      </c>
      <c r="B91" s="45">
        <v>1035</v>
      </c>
      <c r="C91" s="123"/>
      <c r="D91" s="123"/>
      <c r="E91" s="123"/>
      <c r="F91" s="123"/>
      <c r="G91" s="127" t="s">
        <v>52</v>
      </c>
      <c r="H91" s="128">
        <v>2004</v>
      </c>
      <c r="I91" s="128" t="s">
        <v>21</v>
      </c>
      <c r="J91" s="128">
        <f t="shared" si="2"/>
        <v>13</v>
      </c>
      <c r="K91" s="128" t="s">
        <v>60</v>
      </c>
      <c r="L91" s="128" t="s">
        <v>40</v>
      </c>
      <c r="M91" s="129" t="s">
        <v>31</v>
      </c>
      <c r="N91" s="129" t="s">
        <v>28</v>
      </c>
      <c r="O91" s="129"/>
      <c r="P91" s="129" t="str">
        <f t="shared" si="3"/>
        <v/>
      </c>
      <c r="Q91" s="130"/>
      <c r="R91" s="128">
        <v>12</v>
      </c>
      <c r="S91" s="130"/>
      <c r="T91" s="130"/>
      <c r="U91" s="136"/>
    </row>
    <row r="92" spans="1:21" ht="15.75" thickBot="1">
      <c r="A92" s="45">
        <v>1034</v>
      </c>
      <c r="B92" s="45">
        <v>1035</v>
      </c>
      <c r="C92" s="123"/>
      <c r="D92" s="123"/>
      <c r="E92" s="123"/>
      <c r="F92" s="123"/>
      <c r="G92" s="127" t="s">
        <v>52</v>
      </c>
      <c r="H92" s="128">
        <v>2004</v>
      </c>
      <c r="I92" s="128" t="s">
        <v>21</v>
      </c>
      <c r="J92" s="128">
        <f t="shared" si="2"/>
        <v>13</v>
      </c>
      <c r="K92" s="128" t="s">
        <v>1104</v>
      </c>
      <c r="L92" s="128" t="s">
        <v>30</v>
      </c>
      <c r="M92" s="129" t="s">
        <v>31</v>
      </c>
      <c r="N92" s="129" t="s">
        <v>28</v>
      </c>
      <c r="O92" s="129"/>
      <c r="P92" s="129" t="str">
        <f t="shared" si="3"/>
        <v/>
      </c>
      <c r="Q92" s="128" t="s">
        <v>1105</v>
      </c>
      <c r="R92" s="128">
        <v>7.9</v>
      </c>
      <c r="S92" s="130"/>
      <c r="T92" s="130" t="s">
        <v>31</v>
      </c>
      <c r="U92" s="136"/>
    </row>
    <row r="93" spans="1:21" ht="15.75" hidden="1" thickBot="1">
      <c r="A93" s="45">
        <v>1034</v>
      </c>
      <c r="B93" s="45">
        <v>1035</v>
      </c>
      <c r="C93" s="123"/>
      <c r="D93" s="123"/>
      <c r="E93" s="123"/>
      <c r="F93" s="123"/>
      <c r="G93" s="127" t="s">
        <v>52</v>
      </c>
      <c r="H93" s="128">
        <v>2004</v>
      </c>
      <c r="I93" s="128" t="s">
        <v>21</v>
      </c>
      <c r="J93" s="128">
        <f t="shared" si="2"/>
        <v>13</v>
      </c>
      <c r="K93" s="128" t="s">
        <v>1086</v>
      </c>
      <c r="L93" s="128" t="s">
        <v>30</v>
      </c>
      <c r="M93" s="129" t="s">
        <v>1065</v>
      </c>
      <c r="N93" s="129" t="s">
        <v>28</v>
      </c>
      <c r="O93" s="129" t="s">
        <v>28</v>
      </c>
      <c r="P93" s="129" t="str">
        <f t="shared" si="3"/>
        <v>N/A</v>
      </c>
      <c r="Q93" s="130"/>
      <c r="R93" s="128">
        <v>3.8</v>
      </c>
      <c r="S93" s="130"/>
      <c r="T93" s="130"/>
      <c r="U93" s="136"/>
    </row>
    <row r="94" spans="1:21" ht="15.75" thickBot="1">
      <c r="A94" s="45">
        <v>1034</v>
      </c>
      <c r="B94" s="45">
        <v>1035</v>
      </c>
      <c r="C94" s="123"/>
      <c r="D94" s="123"/>
      <c r="E94" s="123"/>
      <c r="F94" s="123"/>
      <c r="G94" s="127" t="s">
        <v>52</v>
      </c>
      <c r="H94" s="128">
        <v>2004</v>
      </c>
      <c r="I94" s="128" t="s">
        <v>21</v>
      </c>
      <c r="J94" s="128">
        <f t="shared" si="2"/>
        <v>13</v>
      </c>
      <c r="K94" s="128" t="s">
        <v>1106</v>
      </c>
      <c r="L94" s="128" t="s">
        <v>30</v>
      </c>
      <c r="M94" s="129" t="s">
        <v>201</v>
      </c>
      <c r="N94" s="129" t="s">
        <v>28</v>
      </c>
      <c r="O94" s="129"/>
      <c r="P94" s="129" t="str">
        <f t="shared" si="3"/>
        <v/>
      </c>
      <c r="Q94" s="128" t="s">
        <v>1107</v>
      </c>
      <c r="R94" s="128">
        <v>1.4</v>
      </c>
      <c r="S94" s="130"/>
      <c r="T94" s="130" t="s">
        <v>998</v>
      </c>
      <c r="U94" s="136"/>
    </row>
    <row r="95" spans="1:21" ht="15.75" hidden="1" thickBot="1">
      <c r="A95" s="45">
        <v>1034</v>
      </c>
      <c r="B95" s="45">
        <v>1035</v>
      </c>
      <c r="C95" s="123"/>
      <c r="D95" s="123"/>
      <c r="E95" s="123"/>
      <c r="F95" s="123"/>
      <c r="G95" s="127" t="s">
        <v>52</v>
      </c>
      <c r="H95" s="128">
        <v>2004</v>
      </c>
      <c r="I95" s="128" t="s">
        <v>21</v>
      </c>
      <c r="J95" s="128">
        <f t="shared" si="2"/>
        <v>13</v>
      </c>
      <c r="K95" s="128" t="s">
        <v>1087</v>
      </c>
      <c r="L95" s="128" t="s">
        <v>40</v>
      </c>
      <c r="M95" s="129" t="s">
        <v>31</v>
      </c>
      <c r="N95" s="129" t="s">
        <v>28</v>
      </c>
      <c r="O95" s="129" t="s">
        <v>28</v>
      </c>
      <c r="P95" s="129" t="str">
        <f t="shared" si="3"/>
        <v>N/A</v>
      </c>
      <c r="Q95" s="128" t="s">
        <v>1108</v>
      </c>
      <c r="R95" s="128">
        <v>7.9</v>
      </c>
      <c r="S95" s="130"/>
      <c r="T95" s="130" t="s">
        <v>31</v>
      </c>
      <c r="U95" s="136"/>
    </row>
    <row r="96" spans="1:21" ht="15.75" hidden="1" thickBot="1">
      <c r="A96" s="45">
        <v>1031</v>
      </c>
      <c r="B96" s="45">
        <v>1032</v>
      </c>
      <c r="C96" s="123"/>
      <c r="D96" s="123"/>
      <c r="E96" s="123"/>
      <c r="F96" s="123"/>
      <c r="G96" s="127" t="s">
        <v>52</v>
      </c>
      <c r="H96" s="128">
        <v>2006</v>
      </c>
      <c r="I96" s="128" t="s">
        <v>21</v>
      </c>
      <c r="J96" s="128">
        <f t="shared" si="2"/>
        <v>7</v>
      </c>
      <c r="K96" s="128" t="s">
        <v>1109</v>
      </c>
      <c r="L96" s="128" t="s">
        <v>30</v>
      </c>
      <c r="M96" s="129" t="s">
        <v>1013</v>
      </c>
      <c r="N96" s="129" t="s">
        <v>28</v>
      </c>
      <c r="O96" s="129" t="s">
        <v>28</v>
      </c>
      <c r="P96" s="129" t="str">
        <f t="shared" si="3"/>
        <v>N/A</v>
      </c>
      <c r="Q96" s="130"/>
      <c r="R96" s="128">
        <v>10.5</v>
      </c>
      <c r="S96" s="130"/>
      <c r="T96" s="130"/>
      <c r="U96" s="136"/>
    </row>
    <row r="97" spans="1:21" ht="15.75" hidden="1" thickBot="1">
      <c r="A97" s="45">
        <v>1031</v>
      </c>
      <c r="B97" s="45">
        <v>1032</v>
      </c>
      <c r="C97" s="123"/>
      <c r="D97" s="123"/>
      <c r="E97" s="123"/>
      <c r="F97" s="123"/>
      <c r="G97" s="127" t="s">
        <v>52</v>
      </c>
      <c r="H97" s="128">
        <v>2006</v>
      </c>
      <c r="I97" s="128" t="s">
        <v>21</v>
      </c>
      <c r="J97" s="128">
        <f t="shared" si="2"/>
        <v>7</v>
      </c>
      <c r="K97" s="128" t="s">
        <v>65</v>
      </c>
      <c r="L97" s="128" t="s">
        <v>30</v>
      </c>
      <c r="M97" s="129" t="s">
        <v>1003</v>
      </c>
      <c r="N97" s="129" t="s">
        <v>32</v>
      </c>
      <c r="O97" s="129" t="s">
        <v>32</v>
      </c>
      <c r="P97" s="129" t="str">
        <f t="shared" si="3"/>
        <v>Y</v>
      </c>
      <c r="Q97" s="132" t="s">
        <v>1110</v>
      </c>
      <c r="R97" s="128">
        <v>24.3</v>
      </c>
      <c r="S97" s="130"/>
      <c r="T97" s="130"/>
      <c r="U97" s="136"/>
    </row>
    <row r="98" spans="1:21" ht="15.75" hidden="1" thickBot="1">
      <c r="A98" s="45">
        <v>1031</v>
      </c>
      <c r="B98" s="45">
        <v>1032</v>
      </c>
      <c r="C98" s="123"/>
      <c r="D98" s="123"/>
      <c r="E98" s="123"/>
      <c r="F98" s="123"/>
      <c r="G98" s="127" t="s">
        <v>52</v>
      </c>
      <c r="H98" s="128">
        <v>2006</v>
      </c>
      <c r="I98" s="128" t="s">
        <v>21</v>
      </c>
      <c r="J98" s="128">
        <f t="shared" si="2"/>
        <v>7</v>
      </c>
      <c r="K98" s="128" t="s">
        <v>1111</v>
      </c>
      <c r="L98" s="128" t="s">
        <v>30</v>
      </c>
      <c r="M98" s="129" t="s">
        <v>31</v>
      </c>
      <c r="N98" s="129" t="s">
        <v>28</v>
      </c>
      <c r="O98" s="129" t="s">
        <v>28</v>
      </c>
      <c r="P98" s="129" t="str">
        <f t="shared" si="3"/>
        <v>N/A</v>
      </c>
      <c r="Q98" s="130"/>
      <c r="R98" s="128">
        <v>5.4</v>
      </c>
      <c r="S98" s="130"/>
      <c r="T98" s="130" t="s">
        <v>31</v>
      </c>
      <c r="U98" s="136"/>
    </row>
    <row r="99" spans="1:21" ht="15.75" hidden="1" thickBot="1">
      <c r="A99" s="45">
        <v>1031</v>
      </c>
      <c r="B99" s="45">
        <v>1032</v>
      </c>
      <c r="C99" s="123"/>
      <c r="D99" s="123"/>
      <c r="E99" s="123"/>
      <c r="F99" s="123"/>
      <c r="G99" s="127" t="s">
        <v>52</v>
      </c>
      <c r="H99" s="128">
        <v>2006</v>
      </c>
      <c r="I99" s="128" t="s">
        <v>21</v>
      </c>
      <c r="J99" s="128">
        <f t="shared" si="2"/>
        <v>7</v>
      </c>
      <c r="K99" s="128" t="s">
        <v>60</v>
      </c>
      <c r="L99" s="128" t="s">
        <v>40</v>
      </c>
      <c r="M99" s="129" t="s">
        <v>31</v>
      </c>
      <c r="N99" s="129" t="s">
        <v>32</v>
      </c>
      <c r="O99" s="129" t="s">
        <v>28</v>
      </c>
      <c r="P99" s="129" t="str">
        <f t="shared" si="3"/>
        <v>N/A</v>
      </c>
      <c r="Q99" s="130"/>
      <c r="R99" s="128">
        <v>24.2</v>
      </c>
      <c r="S99" s="130"/>
      <c r="T99" s="130"/>
      <c r="U99" s="136"/>
    </row>
    <row r="100" spans="1:21" ht="15.75" hidden="1" thickBot="1">
      <c r="A100" s="45">
        <v>1031</v>
      </c>
      <c r="B100" s="45">
        <v>1032</v>
      </c>
      <c r="C100" s="123"/>
      <c r="D100" s="123"/>
      <c r="E100" s="123"/>
      <c r="F100" s="123"/>
      <c r="G100" s="127" t="s">
        <v>52</v>
      </c>
      <c r="H100" s="128">
        <v>2006</v>
      </c>
      <c r="I100" s="128" t="s">
        <v>21</v>
      </c>
      <c r="J100" s="128">
        <f t="shared" si="2"/>
        <v>7</v>
      </c>
      <c r="K100" s="128" t="s">
        <v>1112</v>
      </c>
      <c r="L100" s="128" t="s">
        <v>30</v>
      </c>
      <c r="M100" s="129" t="s">
        <v>31</v>
      </c>
      <c r="N100" s="129" t="s">
        <v>28</v>
      </c>
      <c r="O100" s="129" t="s">
        <v>28</v>
      </c>
      <c r="P100" s="129" t="str">
        <f t="shared" si="3"/>
        <v>N/A</v>
      </c>
      <c r="Q100" s="128" t="s">
        <v>1113</v>
      </c>
      <c r="R100" s="128">
        <v>5.7</v>
      </c>
      <c r="S100" s="130"/>
      <c r="T100" s="130" t="s">
        <v>31</v>
      </c>
      <c r="U100" s="136"/>
    </row>
    <row r="101" spans="1:21" ht="15.75" hidden="1" thickBot="1">
      <c r="A101" s="45">
        <v>1031</v>
      </c>
      <c r="B101" s="45">
        <v>1032</v>
      </c>
      <c r="C101" s="123"/>
      <c r="D101" s="123"/>
      <c r="E101" s="123"/>
      <c r="F101" s="123"/>
      <c r="G101" s="127" t="s">
        <v>52</v>
      </c>
      <c r="H101" s="128">
        <v>2006</v>
      </c>
      <c r="I101" s="128" t="s">
        <v>21</v>
      </c>
      <c r="J101" s="128">
        <f t="shared" si="2"/>
        <v>7</v>
      </c>
      <c r="K101" s="128" t="s">
        <v>1114</v>
      </c>
      <c r="L101" s="128" t="s">
        <v>30</v>
      </c>
      <c r="M101" s="129" t="s">
        <v>1003</v>
      </c>
      <c r="N101" s="129" t="s">
        <v>28</v>
      </c>
      <c r="O101" s="129" t="s">
        <v>28</v>
      </c>
      <c r="P101" s="129" t="str">
        <f t="shared" si="3"/>
        <v>N/A</v>
      </c>
      <c r="Q101" s="128" t="s">
        <v>1115</v>
      </c>
      <c r="R101" s="128">
        <v>6</v>
      </c>
      <c r="S101" s="130"/>
      <c r="T101" s="130"/>
      <c r="U101" s="136"/>
    </row>
    <row r="102" spans="1:21" ht="15.75" thickBot="1">
      <c r="A102" s="45">
        <v>1031</v>
      </c>
      <c r="B102" s="45">
        <v>1032</v>
      </c>
      <c r="C102" s="123"/>
      <c r="D102" s="123"/>
      <c r="E102" s="123"/>
      <c r="F102" s="123"/>
      <c r="G102" s="127" t="s">
        <v>52</v>
      </c>
      <c r="H102" s="128">
        <v>2006</v>
      </c>
      <c r="I102" s="128" t="s">
        <v>21</v>
      </c>
      <c r="J102" s="128">
        <f t="shared" si="2"/>
        <v>7</v>
      </c>
      <c r="K102" s="128" t="s">
        <v>67</v>
      </c>
      <c r="L102" s="128" t="s">
        <v>30</v>
      </c>
      <c r="M102" s="129" t="s">
        <v>1065</v>
      </c>
      <c r="N102" s="129" t="s">
        <v>28</v>
      </c>
      <c r="O102" s="129" t="s">
        <v>32</v>
      </c>
      <c r="P102" s="129" t="str">
        <f t="shared" si="3"/>
        <v>N</v>
      </c>
      <c r="Q102" s="128" t="s">
        <v>1116</v>
      </c>
      <c r="R102" s="128">
        <v>24</v>
      </c>
      <c r="S102" s="130"/>
      <c r="T102" s="130" t="s">
        <v>1015</v>
      </c>
      <c r="U102" s="136"/>
    </row>
    <row r="103" spans="1:21" ht="15.75" hidden="1" thickBot="1">
      <c r="A103" s="45">
        <v>1033</v>
      </c>
      <c r="B103" s="123"/>
      <c r="C103" s="123"/>
      <c r="D103" s="123"/>
      <c r="E103" s="123"/>
      <c r="F103" s="123"/>
      <c r="G103" s="127" t="s">
        <v>52</v>
      </c>
      <c r="H103" s="128">
        <v>2006</v>
      </c>
      <c r="I103" s="128" t="s">
        <v>38</v>
      </c>
      <c r="J103" s="128">
        <f t="shared" si="2"/>
        <v>2</v>
      </c>
      <c r="K103" s="128" t="s">
        <v>66</v>
      </c>
      <c r="L103" s="128" t="s">
        <v>30</v>
      </c>
      <c r="M103" s="129" t="s">
        <v>31</v>
      </c>
      <c r="N103" s="129" t="s">
        <v>32</v>
      </c>
      <c r="O103" s="129" t="s">
        <v>32</v>
      </c>
      <c r="P103" s="129" t="str">
        <f t="shared" si="3"/>
        <v>Y</v>
      </c>
      <c r="Q103" s="128" t="s">
        <v>1117</v>
      </c>
      <c r="R103" s="128">
        <v>79</v>
      </c>
      <c r="S103" s="130"/>
      <c r="T103" s="130" t="s">
        <v>31</v>
      </c>
      <c r="U103" s="136"/>
    </row>
    <row r="104" spans="1:21" ht="15.75" hidden="1" thickBot="1">
      <c r="A104" s="45">
        <v>1033</v>
      </c>
      <c r="B104" s="133"/>
      <c r="C104" s="133"/>
      <c r="D104" s="133"/>
      <c r="E104" s="133"/>
      <c r="F104" s="133"/>
      <c r="G104" s="127" t="s">
        <v>52</v>
      </c>
      <c r="H104" s="128">
        <v>2006</v>
      </c>
      <c r="I104" s="128" t="s">
        <v>38</v>
      </c>
      <c r="J104" s="128">
        <f t="shared" si="2"/>
        <v>2</v>
      </c>
      <c r="K104" s="128" t="s">
        <v>1118</v>
      </c>
      <c r="L104" s="128" t="s">
        <v>30</v>
      </c>
      <c r="M104" s="129" t="s">
        <v>31</v>
      </c>
      <c r="N104" s="129" t="s">
        <v>28</v>
      </c>
      <c r="O104" s="129" t="s">
        <v>28</v>
      </c>
      <c r="P104" s="129" t="str">
        <f t="shared" si="3"/>
        <v>N/A</v>
      </c>
      <c r="Q104" s="128" t="s">
        <v>1119</v>
      </c>
      <c r="R104" s="128">
        <v>21</v>
      </c>
      <c r="S104" s="130"/>
      <c r="T104" s="130" t="s">
        <v>31</v>
      </c>
      <c r="U104" s="136"/>
    </row>
    <row r="105" spans="1:21" ht="15.75" hidden="1" thickBot="1">
      <c r="A105" s="45">
        <v>1029</v>
      </c>
      <c r="B105" s="45">
        <v>1030</v>
      </c>
      <c r="C105" s="123"/>
      <c r="D105" s="123"/>
      <c r="E105" s="123"/>
      <c r="F105" s="123"/>
      <c r="G105" s="127" t="s">
        <v>52</v>
      </c>
      <c r="H105" s="128">
        <v>2008</v>
      </c>
      <c r="I105" s="128" t="s">
        <v>21</v>
      </c>
      <c r="J105" s="128">
        <f t="shared" si="2"/>
        <v>10</v>
      </c>
      <c r="K105" s="128" t="s">
        <v>1120</v>
      </c>
      <c r="L105" s="128" t="s">
        <v>30</v>
      </c>
      <c r="M105" s="129" t="s">
        <v>1065</v>
      </c>
      <c r="N105" s="129" t="s">
        <v>28</v>
      </c>
      <c r="O105" s="129" t="s">
        <v>28</v>
      </c>
      <c r="P105" s="129" t="str">
        <f t="shared" si="3"/>
        <v>N/A</v>
      </c>
      <c r="Q105" s="130"/>
      <c r="R105" s="128">
        <v>3.5</v>
      </c>
      <c r="S105" s="130"/>
      <c r="T105" s="130"/>
      <c r="U105" s="136"/>
    </row>
    <row r="106" spans="1:21" ht="15.75" hidden="1" thickBot="1">
      <c r="A106" s="45">
        <v>1029</v>
      </c>
      <c r="B106" s="45">
        <v>1030</v>
      </c>
      <c r="C106" s="123"/>
      <c r="D106" s="123"/>
      <c r="E106" s="123"/>
      <c r="F106" s="123"/>
      <c r="G106" s="127" t="s">
        <v>52</v>
      </c>
      <c r="H106" s="128">
        <v>2008</v>
      </c>
      <c r="I106" s="128" t="s">
        <v>21</v>
      </c>
      <c r="J106" s="128">
        <f t="shared" si="2"/>
        <v>10</v>
      </c>
      <c r="K106" s="128" t="s">
        <v>1098</v>
      </c>
      <c r="L106" s="128" t="s">
        <v>30</v>
      </c>
      <c r="M106" s="129" t="s">
        <v>1003</v>
      </c>
      <c r="N106" s="129" t="s">
        <v>28</v>
      </c>
      <c r="O106" s="129" t="s">
        <v>28</v>
      </c>
      <c r="P106" s="129" t="str">
        <f t="shared" si="3"/>
        <v>N/A</v>
      </c>
      <c r="Q106" s="128" t="s">
        <v>1121</v>
      </c>
      <c r="R106" s="128">
        <v>1</v>
      </c>
      <c r="S106" s="130"/>
      <c r="T106" s="130"/>
      <c r="U106" s="137" t="s">
        <v>3130</v>
      </c>
    </row>
    <row r="107" spans="1:21" ht="15.75" hidden="1" thickBot="1">
      <c r="A107" s="45">
        <v>1029</v>
      </c>
      <c r="B107" s="45">
        <v>1030</v>
      </c>
      <c r="C107" s="123"/>
      <c r="D107" s="123"/>
      <c r="E107" s="123"/>
      <c r="F107" s="123"/>
      <c r="G107" s="127" t="s">
        <v>52</v>
      </c>
      <c r="H107" s="128">
        <v>2008</v>
      </c>
      <c r="I107" s="128" t="s">
        <v>21</v>
      </c>
      <c r="J107" s="128">
        <f t="shared" si="2"/>
        <v>10</v>
      </c>
      <c r="K107" s="128" t="s">
        <v>61</v>
      </c>
      <c r="L107" s="128" t="s">
        <v>40</v>
      </c>
      <c r="M107" s="129" t="s">
        <v>31</v>
      </c>
      <c r="N107" s="129" t="s">
        <v>28</v>
      </c>
      <c r="O107" s="129" t="s">
        <v>28</v>
      </c>
      <c r="P107" s="129" t="str">
        <f t="shared" si="3"/>
        <v>N/A</v>
      </c>
      <c r="Q107" s="130"/>
      <c r="R107" s="128">
        <v>19.399999999999999</v>
      </c>
      <c r="S107" s="130"/>
      <c r="T107" s="130"/>
      <c r="U107" s="136"/>
    </row>
    <row r="108" spans="1:21" ht="26.25" hidden="1" thickBot="1">
      <c r="A108" s="45">
        <v>1029</v>
      </c>
      <c r="B108" s="45">
        <v>1030</v>
      </c>
      <c r="C108" s="123"/>
      <c r="D108" s="123"/>
      <c r="E108" s="123"/>
      <c r="F108" s="123"/>
      <c r="G108" s="127" t="s">
        <v>52</v>
      </c>
      <c r="H108" s="128">
        <v>2008</v>
      </c>
      <c r="I108" s="128" t="s">
        <v>21</v>
      </c>
      <c r="J108" s="128">
        <f t="shared" si="2"/>
        <v>10</v>
      </c>
      <c r="K108" s="128" t="s">
        <v>63</v>
      </c>
      <c r="L108" s="128" t="s">
        <v>30</v>
      </c>
      <c r="M108" s="129" t="s">
        <v>34</v>
      </c>
      <c r="N108" s="129" t="s">
        <v>32</v>
      </c>
      <c r="O108" s="129" t="s">
        <v>32</v>
      </c>
      <c r="P108" s="129" t="str">
        <f t="shared" si="3"/>
        <v>Y</v>
      </c>
      <c r="Q108" s="138" t="s">
        <v>1122</v>
      </c>
      <c r="R108" s="128">
        <v>23.2</v>
      </c>
      <c r="S108" s="130"/>
      <c r="T108" s="130" t="s">
        <v>1051</v>
      </c>
      <c r="U108" s="136"/>
    </row>
    <row r="109" spans="1:21" ht="15.75" hidden="1" thickBot="1">
      <c r="A109" s="45">
        <v>1029</v>
      </c>
      <c r="B109" s="45">
        <v>1030</v>
      </c>
      <c r="C109" s="123"/>
      <c r="D109" s="123"/>
      <c r="E109" s="123"/>
      <c r="F109" s="123"/>
      <c r="G109" s="127" t="s">
        <v>52</v>
      </c>
      <c r="H109" s="128">
        <v>2008</v>
      </c>
      <c r="I109" s="128" t="s">
        <v>21</v>
      </c>
      <c r="J109" s="128">
        <f t="shared" si="2"/>
        <v>10</v>
      </c>
      <c r="K109" s="128" t="s">
        <v>1123</v>
      </c>
      <c r="L109" s="128" t="s">
        <v>40</v>
      </c>
      <c r="M109" s="129" t="s">
        <v>1003</v>
      </c>
      <c r="N109" s="129" t="s">
        <v>28</v>
      </c>
      <c r="O109" s="129" t="s">
        <v>28</v>
      </c>
      <c r="P109" s="129" t="str">
        <f t="shared" si="3"/>
        <v>N/A</v>
      </c>
      <c r="Q109" s="128" t="s">
        <v>1004</v>
      </c>
      <c r="R109" s="128">
        <v>5.8</v>
      </c>
      <c r="S109" s="130"/>
      <c r="T109" s="130"/>
      <c r="U109" s="136"/>
    </row>
    <row r="110" spans="1:21" ht="15.75" hidden="1" thickBot="1">
      <c r="A110" s="45">
        <v>1029</v>
      </c>
      <c r="B110" s="45">
        <v>1030</v>
      </c>
      <c r="C110" s="123"/>
      <c r="D110" s="123"/>
      <c r="E110" s="123"/>
      <c r="F110" s="123"/>
      <c r="G110" s="127" t="s">
        <v>52</v>
      </c>
      <c r="H110" s="128">
        <v>2008</v>
      </c>
      <c r="I110" s="128" t="s">
        <v>21</v>
      </c>
      <c r="J110" s="128">
        <f t="shared" si="2"/>
        <v>10</v>
      </c>
      <c r="K110" s="128" t="s">
        <v>1103</v>
      </c>
      <c r="L110" s="128" t="s">
        <v>30</v>
      </c>
      <c r="M110" s="129" t="s">
        <v>31</v>
      </c>
      <c r="N110" s="129" t="s">
        <v>28</v>
      </c>
      <c r="O110" s="129" t="s">
        <v>28</v>
      </c>
      <c r="P110" s="129" t="str">
        <f t="shared" si="3"/>
        <v>N/A</v>
      </c>
      <c r="Q110" s="128" t="s">
        <v>1124</v>
      </c>
      <c r="R110" s="128">
        <v>8.3000000000000007</v>
      </c>
      <c r="S110" s="130"/>
      <c r="T110" s="130" t="s">
        <v>31</v>
      </c>
      <c r="U110" s="136"/>
    </row>
    <row r="111" spans="1:21" ht="15.75" hidden="1" thickBot="1">
      <c r="A111" s="45">
        <v>1029</v>
      </c>
      <c r="B111" s="45">
        <v>1030</v>
      </c>
      <c r="C111" s="123"/>
      <c r="D111" s="123"/>
      <c r="E111" s="123"/>
      <c r="F111" s="123"/>
      <c r="G111" s="127" t="s">
        <v>52</v>
      </c>
      <c r="H111" s="128">
        <v>2008</v>
      </c>
      <c r="I111" s="128" t="s">
        <v>21</v>
      </c>
      <c r="J111" s="128">
        <f t="shared" si="2"/>
        <v>10</v>
      </c>
      <c r="K111" s="128" t="s">
        <v>1125</v>
      </c>
      <c r="L111" s="128" t="s">
        <v>30</v>
      </c>
      <c r="M111" s="129" t="s">
        <v>31</v>
      </c>
      <c r="N111" s="129" t="s">
        <v>28</v>
      </c>
      <c r="O111" s="129" t="s">
        <v>28</v>
      </c>
      <c r="P111" s="129" t="str">
        <f t="shared" si="3"/>
        <v>N/A</v>
      </c>
      <c r="Q111" s="128" t="s">
        <v>1126</v>
      </c>
      <c r="R111" s="128">
        <v>7.2</v>
      </c>
      <c r="S111" s="130"/>
      <c r="T111" s="130" t="s">
        <v>31</v>
      </c>
      <c r="U111" s="136"/>
    </row>
    <row r="112" spans="1:21" ht="15.75" hidden="1" thickBot="1">
      <c r="A112" s="45">
        <v>1029</v>
      </c>
      <c r="B112" s="45">
        <v>1030</v>
      </c>
      <c r="C112" s="123"/>
      <c r="D112" s="123"/>
      <c r="E112" s="123"/>
      <c r="F112" s="123"/>
      <c r="G112" s="127" t="s">
        <v>52</v>
      </c>
      <c r="H112" s="128">
        <v>2008</v>
      </c>
      <c r="I112" s="128" t="s">
        <v>21</v>
      </c>
      <c r="J112" s="128">
        <f t="shared" si="2"/>
        <v>10</v>
      </c>
      <c r="K112" s="128" t="s">
        <v>64</v>
      </c>
      <c r="L112" s="128" t="s">
        <v>40</v>
      </c>
      <c r="M112" s="129" t="s">
        <v>34</v>
      </c>
      <c r="N112" s="129" t="s">
        <v>32</v>
      </c>
      <c r="O112" s="129" t="s">
        <v>32</v>
      </c>
      <c r="P112" s="129" t="str">
        <f t="shared" si="3"/>
        <v>Y</v>
      </c>
      <c r="Q112" s="130"/>
      <c r="R112" s="128">
        <v>22.6</v>
      </c>
      <c r="S112" s="130"/>
      <c r="T112" s="130"/>
      <c r="U112" s="136"/>
    </row>
    <row r="113" spans="1:21" ht="51.75" hidden="1" thickBot="1">
      <c r="A113" s="45">
        <v>1029</v>
      </c>
      <c r="B113" s="45">
        <v>1030</v>
      </c>
      <c r="C113" s="123"/>
      <c r="D113" s="123"/>
      <c r="E113" s="123"/>
      <c r="F113" s="123"/>
      <c r="G113" s="127" t="s">
        <v>52</v>
      </c>
      <c r="H113" s="128">
        <v>2008</v>
      </c>
      <c r="I113" s="128" t="s">
        <v>21</v>
      </c>
      <c r="J113" s="128">
        <f t="shared" si="2"/>
        <v>10</v>
      </c>
      <c r="K113" s="128" t="s">
        <v>1086</v>
      </c>
      <c r="L113" s="128" t="s">
        <v>30</v>
      </c>
      <c r="M113" s="129" t="s">
        <v>1065</v>
      </c>
      <c r="N113" s="129" t="s">
        <v>28</v>
      </c>
      <c r="O113" s="129" t="s">
        <v>28</v>
      </c>
      <c r="P113" s="129" t="str">
        <f t="shared" si="3"/>
        <v>N/A</v>
      </c>
      <c r="Q113" s="132" t="s">
        <v>1127</v>
      </c>
      <c r="R113" s="128">
        <v>5.0999999999999996</v>
      </c>
      <c r="S113" s="130"/>
      <c r="T113" s="130" t="s">
        <v>1128</v>
      </c>
      <c r="U113" s="136"/>
    </row>
    <row r="114" spans="1:21" ht="51.75" hidden="1" thickBot="1">
      <c r="A114" s="45">
        <v>1029</v>
      </c>
      <c r="B114" s="45">
        <v>1030</v>
      </c>
      <c r="C114" s="123"/>
      <c r="D114" s="123"/>
      <c r="E114" s="123"/>
      <c r="F114" s="123"/>
      <c r="G114" s="127" t="s">
        <v>52</v>
      </c>
      <c r="H114" s="128">
        <v>2008</v>
      </c>
      <c r="I114" s="128" t="s">
        <v>21</v>
      </c>
      <c r="J114" s="128">
        <f t="shared" si="2"/>
        <v>10</v>
      </c>
      <c r="K114" s="128" t="s">
        <v>1129</v>
      </c>
      <c r="L114" s="128" t="s">
        <v>30</v>
      </c>
      <c r="M114" s="129" t="s">
        <v>1065</v>
      </c>
      <c r="N114" s="129" t="s">
        <v>28</v>
      </c>
      <c r="O114" s="129" t="s">
        <v>28</v>
      </c>
      <c r="P114" s="129" t="str">
        <f t="shared" si="3"/>
        <v>N/A</v>
      </c>
      <c r="Q114" s="128" t="s">
        <v>1130</v>
      </c>
      <c r="R114" s="128">
        <v>3.9</v>
      </c>
      <c r="S114" s="130"/>
      <c r="T114" s="130" t="s">
        <v>1131</v>
      </c>
      <c r="U114" s="136"/>
    </row>
    <row r="115" spans="1:21" ht="26.25" hidden="1" thickBot="1">
      <c r="A115" s="45">
        <v>1026</v>
      </c>
      <c r="B115" s="45">
        <v>1027</v>
      </c>
      <c r="C115" s="123"/>
      <c r="D115" s="123"/>
      <c r="E115" s="123"/>
      <c r="F115" s="123"/>
      <c r="G115" s="127" t="s">
        <v>52</v>
      </c>
      <c r="H115" s="128">
        <v>2010</v>
      </c>
      <c r="I115" s="128" t="s">
        <v>21</v>
      </c>
      <c r="J115" s="128">
        <f t="shared" si="2"/>
        <v>14</v>
      </c>
      <c r="K115" s="128" t="s">
        <v>1109</v>
      </c>
      <c r="L115" s="128" t="s">
        <v>30</v>
      </c>
      <c r="M115" s="129" t="s">
        <v>1013</v>
      </c>
      <c r="N115" s="129" t="s">
        <v>28</v>
      </c>
      <c r="O115" s="129" t="s">
        <v>28</v>
      </c>
      <c r="P115" s="129" t="str">
        <f t="shared" si="3"/>
        <v>N/A</v>
      </c>
      <c r="Q115" s="128" t="s">
        <v>1132</v>
      </c>
      <c r="R115" s="128">
        <v>5</v>
      </c>
      <c r="S115" s="130"/>
      <c r="T115" s="130" t="s">
        <v>1051</v>
      </c>
      <c r="U115" s="136"/>
    </row>
    <row r="116" spans="1:21" ht="15.75" hidden="1" thickBot="1">
      <c r="A116" s="45">
        <v>1026</v>
      </c>
      <c r="B116" s="45">
        <v>1027</v>
      </c>
      <c r="C116" s="123"/>
      <c r="D116" s="123"/>
      <c r="E116" s="123"/>
      <c r="F116" s="123"/>
      <c r="G116" s="127" t="s">
        <v>52</v>
      </c>
      <c r="H116" s="128">
        <v>2010</v>
      </c>
      <c r="I116" s="128" t="s">
        <v>21</v>
      </c>
      <c r="J116" s="128">
        <f t="shared" si="2"/>
        <v>14</v>
      </c>
      <c r="K116" s="128" t="s">
        <v>1120</v>
      </c>
      <c r="L116" s="128" t="s">
        <v>30</v>
      </c>
      <c r="M116" s="129" t="s">
        <v>1065</v>
      </c>
      <c r="N116" s="129" t="s">
        <v>28</v>
      </c>
      <c r="O116" s="129" t="s">
        <v>28</v>
      </c>
      <c r="P116" s="129" t="str">
        <f t="shared" si="3"/>
        <v>N/A</v>
      </c>
      <c r="Q116" s="130"/>
      <c r="R116" s="128">
        <v>4.7</v>
      </c>
      <c r="S116" s="130"/>
      <c r="T116" s="130"/>
      <c r="U116" s="136"/>
    </row>
    <row r="117" spans="1:21" ht="15.75" hidden="1" thickBot="1">
      <c r="A117" s="45">
        <v>1026</v>
      </c>
      <c r="B117" s="45">
        <v>1027</v>
      </c>
      <c r="C117" s="123"/>
      <c r="D117" s="123"/>
      <c r="E117" s="123"/>
      <c r="F117" s="123"/>
      <c r="G117" s="127" t="s">
        <v>52</v>
      </c>
      <c r="H117" s="128">
        <v>2010</v>
      </c>
      <c r="I117" s="128" t="s">
        <v>21</v>
      </c>
      <c r="J117" s="128">
        <f t="shared" si="2"/>
        <v>14</v>
      </c>
      <c r="K117" s="128" t="s">
        <v>1133</v>
      </c>
      <c r="L117" s="128" t="s">
        <v>30</v>
      </c>
      <c r="M117" s="129" t="s">
        <v>201</v>
      </c>
      <c r="N117" s="129" t="s">
        <v>28</v>
      </c>
      <c r="O117" s="129" t="s">
        <v>28</v>
      </c>
      <c r="P117" s="129" t="str">
        <f t="shared" si="3"/>
        <v>N/A</v>
      </c>
      <c r="Q117" s="128" t="s">
        <v>1134</v>
      </c>
      <c r="R117" s="128">
        <v>3.6</v>
      </c>
      <c r="S117" s="130"/>
      <c r="T117" s="130"/>
      <c r="U117" s="136"/>
    </row>
    <row r="118" spans="1:21" ht="15.75" hidden="1" thickBot="1">
      <c r="A118" s="45">
        <v>1026</v>
      </c>
      <c r="B118" s="45">
        <v>1027</v>
      </c>
      <c r="C118" s="123"/>
      <c r="D118" s="123"/>
      <c r="E118" s="123"/>
      <c r="F118" s="123"/>
      <c r="G118" s="127" t="s">
        <v>52</v>
      </c>
      <c r="H118" s="128">
        <v>2010</v>
      </c>
      <c r="I118" s="128" t="s">
        <v>21</v>
      </c>
      <c r="J118" s="128">
        <f t="shared" si="2"/>
        <v>14</v>
      </c>
      <c r="K118" s="128" t="s">
        <v>1135</v>
      </c>
      <c r="L118" s="128" t="s">
        <v>30</v>
      </c>
      <c r="M118" s="129" t="s">
        <v>31</v>
      </c>
      <c r="N118" s="129" t="s">
        <v>28</v>
      </c>
      <c r="O118" s="129" t="s">
        <v>28</v>
      </c>
      <c r="P118" s="129" t="str">
        <f t="shared" si="3"/>
        <v>N/A</v>
      </c>
      <c r="Q118" s="128" t="s">
        <v>1136</v>
      </c>
      <c r="R118" s="128">
        <v>3.9</v>
      </c>
      <c r="S118" s="130"/>
      <c r="T118" s="130" t="s">
        <v>31</v>
      </c>
      <c r="U118" s="136"/>
    </row>
    <row r="119" spans="1:21" ht="15.75" hidden="1" thickBot="1">
      <c r="A119" s="45">
        <v>1026</v>
      </c>
      <c r="B119" s="45">
        <v>1027</v>
      </c>
      <c r="C119" s="123"/>
      <c r="D119" s="123"/>
      <c r="E119" s="123"/>
      <c r="F119" s="123"/>
      <c r="G119" s="127" t="s">
        <v>52</v>
      </c>
      <c r="H119" s="128">
        <v>2010</v>
      </c>
      <c r="I119" s="128" t="s">
        <v>21</v>
      </c>
      <c r="J119" s="128">
        <f t="shared" si="2"/>
        <v>14</v>
      </c>
      <c r="K119" s="128" t="s">
        <v>61</v>
      </c>
      <c r="L119" s="128" t="s">
        <v>40</v>
      </c>
      <c r="M119" s="129" t="s">
        <v>31</v>
      </c>
      <c r="N119" s="129" t="s">
        <v>32</v>
      </c>
      <c r="O119" s="129" t="s">
        <v>28</v>
      </c>
      <c r="P119" s="129" t="str">
        <f t="shared" si="3"/>
        <v>N/A</v>
      </c>
      <c r="Q119" s="132" t="s">
        <v>1137</v>
      </c>
      <c r="R119" s="128">
        <v>19</v>
      </c>
      <c r="S119" s="130"/>
      <c r="T119" s="130" t="s">
        <v>31</v>
      </c>
      <c r="U119" s="136"/>
    </row>
    <row r="120" spans="1:21" ht="15.75" hidden="1" thickBot="1">
      <c r="A120" s="45">
        <v>1026</v>
      </c>
      <c r="B120" s="45">
        <v>1027</v>
      </c>
      <c r="C120" s="123"/>
      <c r="D120" s="123"/>
      <c r="E120" s="123"/>
      <c r="F120" s="123"/>
      <c r="G120" s="127" t="s">
        <v>52</v>
      </c>
      <c r="H120" s="128">
        <v>2010</v>
      </c>
      <c r="I120" s="128" t="s">
        <v>21</v>
      </c>
      <c r="J120" s="128">
        <f t="shared" si="2"/>
        <v>14</v>
      </c>
      <c r="K120" s="128" t="s">
        <v>1138</v>
      </c>
      <c r="L120" s="128" t="s">
        <v>30</v>
      </c>
      <c r="M120" s="129" t="s">
        <v>1065</v>
      </c>
      <c r="N120" s="129" t="s">
        <v>28</v>
      </c>
      <c r="O120" s="129" t="s">
        <v>28</v>
      </c>
      <c r="P120" s="129" t="str">
        <f t="shared" si="3"/>
        <v>N/A</v>
      </c>
      <c r="Q120" s="130"/>
      <c r="R120" s="128">
        <v>12.1</v>
      </c>
      <c r="S120" s="130"/>
      <c r="T120" s="130"/>
      <c r="U120" s="136"/>
    </row>
    <row r="121" spans="1:21" ht="15.75" hidden="1" thickBot="1">
      <c r="A121" s="45">
        <v>1026</v>
      </c>
      <c r="B121" s="45">
        <v>1027</v>
      </c>
      <c r="C121" s="123"/>
      <c r="D121" s="123"/>
      <c r="E121" s="123"/>
      <c r="F121" s="123"/>
      <c r="G121" s="127" t="s">
        <v>52</v>
      </c>
      <c r="H121" s="128">
        <v>2010</v>
      </c>
      <c r="I121" s="128" t="s">
        <v>21</v>
      </c>
      <c r="J121" s="128">
        <f t="shared" si="2"/>
        <v>14</v>
      </c>
      <c r="K121" s="128" t="s">
        <v>1139</v>
      </c>
      <c r="L121" s="128" t="s">
        <v>30</v>
      </c>
      <c r="M121" s="129" t="s">
        <v>31</v>
      </c>
      <c r="N121" s="129" t="s">
        <v>28</v>
      </c>
      <c r="O121" s="129" t="s">
        <v>28</v>
      </c>
      <c r="P121" s="129" t="str">
        <f t="shared" si="3"/>
        <v>N/A</v>
      </c>
      <c r="Q121" s="128" t="s">
        <v>1140</v>
      </c>
      <c r="R121" s="128">
        <v>2.8</v>
      </c>
      <c r="S121" s="130"/>
      <c r="T121" s="130"/>
      <c r="U121" s="136"/>
    </row>
    <row r="122" spans="1:21" ht="15.75" hidden="1" thickBot="1">
      <c r="A122" s="45">
        <v>1026</v>
      </c>
      <c r="B122" s="45">
        <v>1027</v>
      </c>
      <c r="C122" s="123"/>
      <c r="D122" s="123"/>
      <c r="E122" s="123"/>
      <c r="F122" s="123"/>
      <c r="G122" s="127" t="s">
        <v>52</v>
      </c>
      <c r="H122" s="128">
        <v>2010</v>
      </c>
      <c r="I122" s="128" t="s">
        <v>21</v>
      </c>
      <c r="J122" s="128">
        <f t="shared" si="2"/>
        <v>14</v>
      </c>
      <c r="K122" s="128" t="s">
        <v>56</v>
      </c>
      <c r="L122" s="128" t="s">
        <v>40</v>
      </c>
      <c r="M122" s="129" t="s">
        <v>31</v>
      </c>
      <c r="N122" s="129" t="s">
        <v>32</v>
      </c>
      <c r="O122" s="129" t="s">
        <v>28</v>
      </c>
      <c r="P122" s="129" t="str">
        <f t="shared" si="3"/>
        <v>N/A</v>
      </c>
      <c r="Q122" s="132" t="s">
        <v>1141</v>
      </c>
      <c r="R122" s="128">
        <v>16.600000000000001</v>
      </c>
      <c r="S122" s="130"/>
      <c r="T122" s="130" t="s">
        <v>31</v>
      </c>
      <c r="U122" s="136"/>
    </row>
    <row r="123" spans="1:21" ht="15.75" hidden="1" thickBot="1">
      <c r="A123" s="45">
        <v>1026</v>
      </c>
      <c r="B123" s="45">
        <v>1027</v>
      </c>
      <c r="C123" s="123"/>
      <c r="D123" s="123"/>
      <c r="E123" s="123"/>
      <c r="F123" s="123"/>
      <c r="G123" s="127" t="s">
        <v>52</v>
      </c>
      <c r="H123" s="128">
        <v>2010</v>
      </c>
      <c r="I123" s="128" t="s">
        <v>21</v>
      </c>
      <c r="J123" s="128">
        <f t="shared" si="2"/>
        <v>14</v>
      </c>
      <c r="K123" s="128" t="s">
        <v>1142</v>
      </c>
      <c r="L123" s="128" t="s">
        <v>40</v>
      </c>
      <c r="M123" s="129" t="s">
        <v>1003</v>
      </c>
      <c r="N123" s="129" t="s">
        <v>28</v>
      </c>
      <c r="O123" s="129" t="s">
        <v>28</v>
      </c>
      <c r="P123" s="129" t="str">
        <f t="shared" si="3"/>
        <v>N/A</v>
      </c>
      <c r="Q123" s="128" t="s">
        <v>1004</v>
      </c>
      <c r="R123" s="128">
        <v>7.7</v>
      </c>
      <c r="S123" s="130"/>
      <c r="T123" s="130"/>
      <c r="U123" s="136"/>
    </row>
    <row r="124" spans="1:21" ht="15.75" hidden="1" thickBot="1">
      <c r="A124" s="45">
        <v>1026</v>
      </c>
      <c r="B124" s="45">
        <v>1027</v>
      </c>
      <c r="C124" s="123"/>
      <c r="D124" s="123"/>
      <c r="E124" s="123"/>
      <c r="F124" s="123"/>
      <c r="G124" s="127" t="s">
        <v>52</v>
      </c>
      <c r="H124" s="128">
        <v>2010</v>
      </c>
      <c r="I124" s="128" t="s">
        <v>21</v>
      </c>
      <c r="J124" s="128">
        <f t="shared" si="2"/>
        <v>14</v>
      </c>
      <c r="K124" s="128" t="s">
        <v>1143</v>
      </c>
      <c r="L124" s="128" t="s">
        <v>30</v>
      </c>
      <c r="M124" s="129" t="s">
        <v>1065</v>
      </c>
      <c r="N124" s="129" t="s">
        <v>28</v>
      </c>
      <c r="O124" s="129" t="s">
        <v>28</v>
      </c>
      <c r="P124" s="129" t="str">
        <f t="shared" si="3"/>
        <v>N/A</v>
      </c>
      <c r="Q124" s="128" t="s">
        <v>1144</v>
      </c>
      <c r="R124" s="128">
        <v>4.5</v>
      </c>
      <c r="S124" s="130"/>
      <c r="T124" s="130" t="s">
        <v>1015</v>
      </c>
      <c r="U124" s="136"/>
    </row>
    <row r="125" spans="1:21" ht="15.75" hidden="1" thickBot="1">
      <c r="A125" s="45">
        <v>1026</v>
      </c>
      <c r="B125" s="45">
        <v>1027</v>
      </c>
      <c r="C125" s="123"/>
      <c r="D125" s="123"/>
      <c r="E125" s="123"/>
      <c r="F125" s="123"/>
      <c r="G125" s="127" t="s">
        <v>52</v>
      </c>
      <c r="H125" s="128">
        <v>2010</v>
      </c>
      <c r="I125" s="128" t="s">
        <v>21</v>
      </c>
      <c r="J125" s="128">
        <f t="shared" si="2"/>
        <v>14</v>
      </c>
      <c r="K125" s="128" t="s">
        <v>1145</v>
      </c>
      <c r="L125" s="128" t="s">
        <v>30</v>
      </c>
      <c r="M125" s="129" t="s">
        <v>31</v>
      </c>
      <c r="N125" s="129" t="s">
        <v>28</v>
      </c>
      <c r="O125" s="129" t="s">
        <v>28</v>
      </c>
      <c r="P125" s="129" t="str">
        <f t="shared" si="3"/>
        <v>N/A</v>
      </c>
      <c r="Q125" s="128" t="s">
        <v>1146</v>
      </c>
      <c r="R125" s="128">
        <v>6.7</v>
      </c>
      <c r="S125" s="130"/>
      <c r="T125" s="130" t="s">
        <v>31</v>
      </c>
      <c r="U125" s="136"/>
    </row>
    <row r="126" spans="1:21" ht="15.75" hidden="1" thickBot="1">
      <c r="A126" s="45">
        <v>1026</v>
      </c>
      <c r="B126" s="45">
        <v>1027</v>
      </c>
      <c r="C126" s="123"/>
      <c r="D126" s="123"/>
      <c r="E126" s="123"/>
      <c r="F126" s="123"/>
      <c r="G126" s="127" t="s">
        <v>52</v>
      </c>
      <c r="H126" s="128">
        <v>2010</v>
      </c>
      <c r="I126" s="128" t="s">
        <v>21</v>
      </c>
      <c r="J126" s="128">
        <f t="shared" si="2"/>
        <v>14</v>
      </c>
      <c r="K126" s="128" t="s">
        <v>1147</v>
      </c>
      <c r="L126" s="128" t="s">
        <v>30</v>
      </c>
      <c r="M126" s="129" t="s">
        <v>1003</v>
      </c>
      <c r="N126" s="129" t="s">
        <v>28</v>
      </c>
      <c r="O126" s="129" t="s">
        <v>28</v>
      </c>
      <c r="P126" s="129" t="str">
        <f t="shared" si="3"/>
        <v>N/A</v>
      </c>
      <c r="Q126" s="132" t="s">
        <v>1148</v>
      </c>
      <c r="R126" s="128">
        <v>2.2000000000000002</v>
      </c>
      <c r="S126" s="130"/>
      <c r="T126" s="130"/>
      <c r="U126" s="136"/>
    </row>
    <row r="127" spans="1:21" ht="15.75" hidden="1" thickBot="1">
      <c r="A127" s="45">
        <v>1026</v>
      </c>
      <c r="B127" s="45">
        <v>1027</v>
      </c>
      <c r="C127" s="123"/>
      <c r="D127" s="123"/>
      <c r="E127" s="123"/>
      <c r="F127" s="123"/>
      <c r="G127" s="127" t="s">
        <v>52</v>
      </c>
      <c r="H127" s="128">
        <v>2010</v>
      </c>
      <c r="I127" s="128" t="s">
        <v>21</v>
      </c>
      <c r="J127" s="128">
        <f t="shared" si="2"/>
        <v>14</v>
      </c>
      <c r="K127" s="128" t="s">
        <v>1149</v>
      </c>
      <c r="L127" s="128" t="s">
        <v>30</v>
      </c>
      <c r="M127" s="129" t="s">
        <v>31</v>
      </c>
      <c r="N127" s="129" t="s">
        <v>28</v>
      </c>
      <c r="O127" s="129" t="s">
        <v>28</v>
      </c>
      <c r="P127" s="129" t="str">
        <f t="shared" si="3"/>
        <v>N/A</v>
      </c>
      <c r="Q127" s="128" t="s">
        <v>1150</v>
      </c>
      <c r="R127" s="128">
        <v>4.7</v>
      </c>
      <c r="S127" s="130"/>
      <c r="T127" s="130" t="s">
        <v>31</v>
      </c>
      <c r="U127" s="136"/>
    </row>
    <row r="128" spans="1:21" ht="26.25" hidden="1" thickBot="1">
      <c r="A128" s="45">
        <v>1026</v>
      </c>
      <c r="B128" s="45">
        <v>1027</v>
      </c>
      <c r="C128" s="123"/>
      <c r="D128" s="123"/>
      <c r="E128" s="123"/>
      <c r="F128" s="123"/>
      <c r="G128" s="127" t="s">
        <v>52</v>
      </c>
      <c r="H128" s="128">
        <v>2010</v>
      </c>
      <c r="I128" s="128" t="s">
        <v>21</v>
      </c>
      <c r="J128" s="128">
        <f t="shared" si="2"/>
        <v>14</v>
      </c>
      <c r="K128" s="128" t="s">
        <v>1151</v>
      </c>
      <c r="L128" s="128" t="s">
        <v>30</v>
      </c>
      <c r="M128" s="129" t="s">
        <v>1065</v>
      </c>
      <c r="N128" s="129" t="s">
        <v>28</v>
      </c>
      <c r="O128" s="129" t="s">
        <v>28</v>
      </c>
      <c r="P128" s="129" t="str">
        <f t="shared" si="3"/>
        <v>N/A</v>
      </c>
      <c r="Q128" s="132" t="s">
        <v>1152</v>
      </c>
      <c r="R128" s="128">
        <v>6.7</v>
      </c>
      <c r="S128" s="130"/>
      <c r="T128" s="130" t="s">
        <v>1153</v>
      </c>
      <c r="U128" s="139" t="s">
        <v>1154</v>
      </c>
    </row>
    <row r="129" spans="1:21" ht="15.75" hidden="1" thickBot="1">
      <c r="A129" s="45">
        <v>1028</v>
      </c>
      <c r="B129" s="123"/>
      <c r="C129" s="123"/>
      <c r="D129" s="123"/>
      <c r="E129" s="123"/>
      <c r="F129" s="123"/>
      <c r="G129" s="127" t="s">
        <v>52</v>
      </c>
      <c r="H129" s="128">
        <v>2010</v>
      </c>
      <c r="I129" s="128" t="s">
        <v>38</v>
      </c>
      <c r="J129" s="128">
        <f t="shared" si="2"/>
        <v>3</v>
      </c>
      <c r="K129" s="128" t="s">
        <v>1075</v>
      </c>
      <c r="L129" s="128" t="s">
        <v>40</v>
      </c>
      <c r="M129" s="129" t="s">
        <v>31</v>
      </c>
      <c r="N129" s="129" t="s">
        <v>28</v>
      </c>
      <c r="O129" s="129" t="s">
        <v>28</v>
      </c>
      <c r="P129" s="129" t="str">
        <f t="shared" si="3"/>
        <v>N/A</v>
      </c>
      <c r="Q129" s="128" t="s">
        <v>1119</v>
      </c>
      <c r="R129" s="128">
        <v>32.1</v>
      </c>
      <c r="S129" s="130"/>
      <c r="T129" s="130" t="s">
        <v>31</v>
      </c>
      <c r="U129" s="136"/>
    </row>
    <row r="130" spans="1:21" ht="15.75" hidden="1" thickBot="1">
      <c r="A130" s="45">
        <v>1028</v>
      </c>
      <c r="B130" s="123"/>
      <c r="C130" s="123"/>
      <c r="D130" s="123"/>
      <c r="E130" s="123"/>
      <c r="F130" s="123"/>
      <c r="G130" s="127" t="s">
        <v>52</v>
      </c>
      <c r="H130" s="128">
        <v>2010</v>
      </c>
      <c r="I130" s="128" t="s">
        <v>38</v>
      </c>
      <c r="J130" s="128">
        <f t="shared" ref="J130:J193" si="4">COUNTIF(A$2:A$2215, A130)</f>
        <v>3</v>
      </c>
      <c r="K130" s="128" t="s">
        <v>57</v>
      </c>
      <c r="L130" s="128" t="s">
        <v>30</v>
      </c>
      <c r="M130" s="129" t="s">
        <v>31</v>
      </c>
      <c r="N130" s="129" t="s">
        <v>32</v>
      </c>
      <c r="O130" s="129" t="s">
        <v>28</v>
      </c>
      <c r="P130" s="129" t="str">
        <f t="shared" si="3"/>
        <v>N/A</v>
      </c>
      <c r="Q130" s="132" t="s">
        <v>1155</v>
      </c>
      <c r="R130" s="128">
        <v>54.4</v>
      </c>
      <c r="S130" s="130"/>
      <c r="T130" s="130" t="s">
        <v>31</v>
      </c>
      <c r="U130" s="136"/>
    </row>
    <row r="131" spans="1:21" ht="15.75" hidden="1" thickBot="1">
      <c r="A131" s="45">
        <v>1028</v>
      </c>
      <c r="B131" s="123"/>
      <c r="C131" s="123"/>
      <c r="D131" s="123"/>
      <c r="E131" s="123"/>
      <c r="F131" s="123"/>
      <c r="G131" s="127" t="s">
        <v>52</v>
      </c>
      <c r="H131" s="128">
        <v>2010</v>
      </c>
      <c r="I131" s="128" t="s">
        <v>38</v>
      </c>
      <c r="J131" s="128">
        <f t="shared" si="4"/>
        <v>3</v>
      </c>
      <c r="K131" s="128" t="s">
        <v>1156</v>
      </c>
      <c r="L131" s="128" t="s">
        <v>30</v>
      </c>
      <c r="M131" s="129" t="s">
        <v>31</v>
      </c>
      <c r="N131" s="129" t="s">
        <v>28</v>
      </c>
      <c r="O131" s="129" t="s">
        <v>28</v>
      </c>
      <c r="P131" s="129" t="str">
        <f t="shared" ref="P131:P194" si="5">IF(O131="N", "N/A", IF(AND(N131="N",  O131="Y"), "N", IF(AND(O131="Y", N131="Y"), "Y", "")))</f>
        <v>N/A</v>
      </c>
      <c r="Q131" s="132" t="s">
        <v>1157</v>
      </c>
      <c r="R131" s="128">
        <v>13.4</v>
      </c>
      <c r="S131" s="130"/>
      <c r="T131" s="130" t="s">
        <v>31</v>
      </c>
      <c r="U131" s="136"/>
    </row>
    <row r="132" spans="1:21" ht="15.75" hidden="1" thickBot="1">
      <c r="A132" s="45">
        <v>1024</v>
      </c>
      <c r="B132" s="45">
        <v>1025</v>
      </c>
      <c r="C132" s="123"/>
      <c r="D132" s="123"/>
      <c r="E132" s="123"/>
      <c r="F132" s="123"/>
      <c r="G132" s="127" t="s">
        <v>52</v>
      </c>
      <c r="H132" s="128">
        <v>2012</v>
      </c>
      <c r="I132" s="128" t="s">
        <v>21</v>
      </c>
      <c r="J132" s="128">
        <f t="shared" si="4"/>
        <v>9</v>
      </c>
      <c r="K132" s="128" t="s">
        <v>1120</v>
      </c>
      <c r="L132" s="128" t="s">
        <v>30</v>
      </c>
      <c r="M132" s="129" t="s">
        <v>1065</v>
      </c>
      <c r="N132" s="129" t="s">
        <v>28</v>
      </c>
      <c r="O132" s="129" t="s">
        <v>28</v>
      </c>
      <c r="P132" s="129" t="str">
        <f t="shared" si="5"/>
        <v>N/A</v>
      </c>
      <c r="Q132" s="128" t="s">
        <v>1158</v>
      </c>
      <c r="R132" s="128">
        <v>6.99</v>
      </c>
      <c r="S132" s="130"/>
      <c r="T132" s="130" t="s">
        <v>1069</v>
      </c>
      <c r="U132" s="136"/>
    </row>
    <row r="133" spans="1:21" ht="15.75" hidden="1" thickBot="1">
      <c r="A133" s="45">
        <v>1024</v>
      </c>
      <c r="B133" s="45">
        <v>1025</v>
      </c>
      <c r="C133" s="123"/>
      <c r="D133" s="123"/>
      <c r="E133" s="123"/>
      <c r="F133" s="123"/>
      <c r="G133" s="127" t="s">
        <v>52</v>
      </c>
      <c r="H133" s="128">
        <v>2012</v>
      </c>
      <c r="I133" s="128" t="s">
        <v>21</v>
      </c>
      <c r="J133" s="128">
        <f t="shared" si="4"/>
        <v>9</v>
      </c>
      <c r="K133" s="128" t="s">
        <v>1159</v>
      </c>
      <c r="L133" s="128" t="s">
        <v>30</v>
      </c>
      <c r="M133" s="129" t="s">
        <v>31</v>
      </c>
      <c r="N133" s="129" t="s">
        <v>28</v>
      </c>
      <c r="O133" s="129" t="s">
        <v>28</v>
      </c>
      <c r="P133" s="129" t="str">
        <f t="shared" si="5"/>
        <v>N/A</v>
      </c>
      <c r="Q133" s="128" t="s">
        <v>1160</v>
      </c>
      <c r="R133" s="128">
        <v>5.07</v>
      </c>
      <c r="S133" s="130"/>
      <c r="T133" s="130" t="s">
        <v>31</v>
      </c>
      <c r="U133" s="140" t="s">
        <v>1161</v>
      </c>
    </row>
    <row r="134" spans="1:21" ht="15.75" hidden="1" thickBot="1">
      <c r="A134" s="45">
        <v>1024</v>
      </c>
      <c r="B134" s="45">
        <v>1025</v>
      </c>
      <c r="C134" s="123"/>
      <c r="D134" s="123"/>
      <c r="E134" s="123"/>
      <c r="F134" s="123"/>
      <c r="G134" s="127" t="s">
        <v>52</v>
      </c>
      <c r="H134" s="128">
        <v>2012</v>
      </c>
      <c r="I134" s="128" t="s">
        <v>21</v>
      </c>
      <c r="J134" s="128">
        <f t="shared" si="4"/>
        <v>9</v>
      </c>
      <c r="K134" s="128" t="s">
        <v>1123</v>
      </c>
      <c r="L134" s="128" t="s">
        <v>40</v>
      </c>
      <c r="M134" s="129" t="s">
        <v>1003</v>
      </c>
      <c r="N134" s="129" t="s">
        <v>28</v>
      </c>
      <c r="O134" s="129" t="s">
        <v>28</v>
      </c>
      <c r="P134" s="129" t="str">
        <f t="shared" si="5"/>
        <v>N/A</v>
      </c>
      <c r="Q134" s="128" t="s">
        <v>1004</v>
      </c>
      <c r="R134" s="128">
        <v>10.33</v>
      </c>
      <c r="S134" s="130"/>
      <c r="T134" s="130"/>
      <c r="U134" s="136"/>
    </row>
    <row r="135" spans="1:21" ht="15.75" hidden="1" thickBot="1">
      <c r="A135" s="45">
        <v>1024</v>
      </c>
      <c r="B135" s="45">
        <v>1025</v>
      </c>
      <c r="C135" s="123"/>
      <c r="D135" s="123"/>
      <c r="E135" s="123"/>
      <c r="F135" s="123"/>
      <c r="G135" s="127" t="s">
        <v>52</v>
      </c>
      <c r="H135" s="128">
        <v>2012</v>
      </c>
      <c r="I135" s="128" t="s">
        <v>21</v>
      </c>
      <c r="J135" s="128">
        <f t="shared" si="4"/>
        <v>9</v>
      </c>
      <c r="K135" s="128" t="s">
        <v>1138</v>
      </c>
      <c r="L135" s="128" t="s">
        <v>30</v>
      </c>
      <c r="M135" s="129" t="s">
        <v>1065</v>
      </c>
      <c r="N135" s="129" t="s">
        <v>28</v>
      </c>
      <c r="O135" s="129" t="s">
        <v>28</v>
      </c>
      <c r="P135" s="129" t="str">
        <f t="shared" si="5"/>
        <v>N/A</v>
      </c>
      <c r="Q135" s="128" t="s">
        <v>1162</v>
      </c>
      <c r="R135" s="128">
        <v>13.97</v>
      </c>
      <c r="S135" s="130"/>
      <c r="T135" s="130" t="s">
        <v>998</v>
      </c>
      <c r="U135" s="136"/>
    </row>
    <row r="136" spans="1:21" ht="15.75" hidden="1" thickBot="1">
      <c r="A136" s="45">
        <v>1024</v>
      </c>
      <c r="B136" s="45">
        <v>1025</v>
      </c>
      <c r="C136" s="123"/>
      <c r="D136" s="123"/>
      <c r="E136" s="123"/>
      <c r="F136" s="123"/>
      <c r="G136" s="127" t="s">
        <v>52</v>
      </c>
      <c r="H136" s="128">
        <v>2012</v>
      </c>
      <c r="I136" s="128" t="s">
        <v>21</v>
      </c>
      <c r="J136" s="128">
        <f t="shared" si="4"/>
        <v>9</v>
      </c>
      <c r="K136" s="128" t="s">
        <v>58</v>
      </c>
      <c r="L136" s="128" t="s">
        <v>30</v>
      </c>
      <c r="M136" s="129" t="s">
        <v>31</v>
      </c>
      <c r="N136" s="129" t="s">
        <v>32</v>
      </c>
      <c r="O136" s="129" t="s">
        <v>28</v>
      </c>
      <c r="P136" s="129" t="str">
        <f t="shared" si="5"/>
        <v>N/A</v>
      </c>
      <c r="Q136" s="128" t="s">
        <v>1163</v>
      </c>
      <c r="R136" s="128">
        <v>19.309999999999999</v>
      </c>
      <c r="S136" s="130"/>
      <c r="T136" s="130" t="s">
        <v>31</v>
      </c>
      <c r="U136" s="141" t="s">
        <v>1164</v>
      </c>
    </row>
    <row r="137" spans="1:21" ht="15.75" hidden="1" thickBot="1">
      <c r="A137" s="45">
        <v>1024</v>
      </c>
      <c r="B137" s="45">
        <v>1025</v>
      </c>
      <c r="C137" s="123"/>
      <c r="D137" s="123"/>
      <c r="E137" s="123"/>
      <c r="F137" s="123"/>
      <c r="G137" s="127" t="s">
        <v>52</v>
      </c>
      <c r="H137" s="128">
        <v>2012</v>
      </c>
      <c r="I137" s="128" t="s">
        <v>21</v>
      </c>
      <c r="J137" s="128">
        <f t="shared" si="4"/>
        <v>9</v>
      </c>
      <c r="K137" s="128" t="s">
        <v>1142</v>
      </c>
      <c r="L137" s="128" t="s">
        <v>40</v>
      </c>
      <c r="M137" s="129" t="s">
        <v>31</v>
      </c>
      <c r="N137" s="129" t="s">
        <v>28</v>
      </c>
      <c r="O137" s="129" t="s">
        <v>28</v>
      </c>
      <c r="P137" s="129" t="str">
        <f t="shared" si="5"/>
        <v>N/A</v>
      </c>
      <c r="Q137" s="128" t="s">
        <v>1165</v>
      </c>
      <c r="R137" s="128">
        <v>9.8699999999999992</v>
      </c>
      <c r="S137" s="130"/>
      <c r="T137" s="130" t="s">
        <v>31</v>
      </c>
      <c r="U137" s="136"/>
    </row>
    <row r="138" spans="1:21" ht="15.75" hidden="1" thickBot="1">
      <c r="A138" s="45">
        <v>1024</v>
      </c>
      <c r="B138" s="45">
        <v>1025</v>
      </c>
      <c r="C138" s="123"/>
      <c r="D138" s="123"/>
      <c r="E138" s="123"/>
      <c r="F138" s="123"/>
      <c r="G138" s="127" t="s">
        <v>52</v>
      </c>
      <c r="H138" s="128">
        <v>2012</v>
      </c>
      <c r="I138" s="128" t="s">
        <v>21</v>
      </c>
      <c r="J138" s="128">
        <f t="shared" si="4"/>
        <v>9</v>
      </c>
      <c r="K138" s="128" t="s">
        <v>60</v>
      </c>
      <c r="L138" s="128" t="s">
        <v>40</v>
      </c>
      <c r="M138" s="129" t="s">
        <v>31</v>
      </c>
      <c r="N138" s="129" t="s">
        <v>32</v>
      </c>
      <c r="O138" s="129" t="s">
        <v>28</v>
      </c>
      <c r="P138" s="129" t="str">
        <f t="shared" si="5"/>
        <v>N/A</v>
      </c>
      <c r="Q138" s="132" t="s">
        <v>1166</v>
      </c>
      <c r="R138" s="128">
        <v>18.670000000000002</v>
      </c>
      <c r="S138" s="130"/>
      <c r="T138" s="130" t="s">
        <v>31</v>
      </c>
      <c r="U138" s="136"/>
    </row>
    <row r="139" spans="1:21" ht="15.75" hidden="1" thickBot="1">
      <c r="A139" s="45">
        <v>1024</v>
      </c>
      <c r="B139" s="45">
        <v>1025</v>
      </c>
      <c r="C139" s="123"/>
      <c r="D139" s="123"/>
      <c r="E139" s="123"/>
      <c r="F139" s="123"/>
      <c r="G139" s="127" t="s">
        <v>52</v>
      </c>
      <c r="H139" s="128">
        <v>2012</v>
      </c>
      <c r="I139" s="128" t="s">
        <v>21</v>
      </c>
      <c r="J139" s="128">
        <f t="shared" si="4"/>
        <v>9</v>
      </c>
      <c r="K139" s="128" t="s">
        <v>1167</v>
      </c>
      <c r="L139" s="128" t="s">
        <v>30</v>
      </c>
      <c r="M139" s="129" t="s">
        <v>1065</v>
      </c>
      <c r="N139" s="129" t="s">
        <v>28</v>
      </c>
      <c r="O139" s="129" t="s">
        <v>28</v>
      </c>
      <c r="P139" s="129" t="str">
        <f t="shared" si="5"/>
        <v>N/A</v>
      </c>
      <c r="Q139" s="128" t="s">
        <v>1144</v>
      </c>
      <c r="R139" s="128">
        <v>5.65</v>
      </c>
      <c r="S139" s="130"/>
      <c r="T139" s="130" t="s">
        <v>1015</v>
      </c>
      <c r="U139" s="136"/>
    </row>
    <row r="140" spans="1:21" ht="15.75" hidden="1" thickBot="1">
      <c r="A140" s="45">
        <v>1024</v>
      </c>
      <c r="B140" s="45">
        <v>1025</v>
      </c>
      <c r="C140" s="123"/>
      <c r="D140" s="123"/>
      <c r="E140" s="123"/>
      <c r="F140" s="123"/>
      <c r="G140" s="127" t="s">
        <v>52</v>
      </c>
      <c r="H140" s="128">
        <v>2012</v>
      </c>
      <c r="I140" s="128" t="s">
        <v>21</v>
      </c>
      <c r="J140" s="128">
        <f t="shared" si="4"/>
        <v>9</v>
      </c>
      <c r="K140" s="128" t="s">
        <v>1168</v>
      </c>
      <c r="L140" s="128" t="s">
        <v>30</v>
      </c>
      <c r="M140" s="129" t="s">
        <v>31</v>
      </c>
      <c r="N140" s="129" t="s">
        <v>28</v>
      </c>
      <c r="O140" s="129" t="s">
        <v>28</v>
      </c>
      <c r="P140" s="129" t="str">
        <f t="shared" si="5"/>
        <v>N/A</v>
      </c>
      <c r="Q140" s="128" t="s">
        <v>1169</v>
      </c>
      <c r="R140" s="128">
        <v>10.14</v>
      </c>
      <c r="S140" s="130"/>
      <c r="T140" s="130" t="s">
        <v>31</v>
      </c>
      <c r="U140" s="136"/>
    </row>
    <row r="141" spans="1:21" ht="15.75" hidden="1" thickBot="1">
      <c r="A141" s="45">
        <v>1021</v>
      </c>
      <c r="B141" s="45">
        <v>1022</v>
      </c>
      <c r="C141" s="123"/>
      <c r="D141" s="123"/>
      <c r="E141" s="123"/>
      <c r="F141" s="123"/>
      <c r="G141" s="127" t="s">
        <v>52</v>
      </c>
      <c r="H141" s="128">
        <v>2014</v>
      </c>
      <c r="I141" s="128" t="s">
        <v>21</v>
      </c>
      <c r="J141" s="128">
        <f t="shared" si="4"/>
        <v>8</v>
      </c>
      <c r="K141" s="128" t="s">
        <v>1170</v>
      </c>
      <c r="L141" s="128" t="s">
        <v>40</v>
      </c>
      <c r="M141" s="129" t="s">
        <v>1065</v>
      </c>
      <c r="N141" s="129" t="s">
        <v>28</v>
      </c>
      <c r="O141" s="129" t="s">
        <v>28</v>
      </c>
      <c r="P141" s="129" t="str">
        <f t="shared" si="5"/>
        <v>N/A</v>
      </c>
      <c r="Q141" s="128" t="s">
        <v>1171</v>
      </c>
      <c r="R141" s="128">
        <v>4.0599999999999996</v>
      </c>
      <c r="S141" s="130"/>
      <c r="T141" s="130" t="s">
        <v>1015</v>
      </c>
      <c r="U141" s="136"/>
    </row>
    <row r="142" spans="1:21" ht="15.75" hidden="1" thickBot="1">
      <c r="A142" s="45">
        <v>1021</v>
      </c>
      <c r="B142" s="45">
        <v>1022</v>
      </c>
      <c r="C142" s="123"/>
      <c r="D142" s="123"/>
      <c r="E142" s="123"/>
      <c r="F142" s="123"/>
      <c r="G142" s="127" t="s">
        <v>52</v>
      </c>
      <c r="H142" s="128">
        <v>2014</v>
      </c>
      <c r="I142" s="128" t="s">
        <v>21</v>
      </c>
      <c r="J142" s="128">
        <f t="shared" si="4"/>
        <v>8</v>
      </c>
      <c r="K142" s="128" t="s">
        <v>1172</v>
      </c>
      <c r="L142" s="128" t="s">
        <v>30</v>
      </c>
      <c r="M142" s="129" t="s">
        <v>31</v>
      </c>
      <c r="N142" s="129" t="s">
        <v>28</v>
      </c>
      <c r="O142" s="129" t="s">
        <v>28</v>
      </c>
      <c r="P142" s="129" t="str">
        <f t="shared" si="5"/>
        <v>N/A</v>
      </c>
      <c r="Q142" s="128" t="s">
        <v>1173</v>
      </c>
      <c r="R142" s="128">
        <v>9.31</v>
      </c>
      <c r="S142" s="130"/>
      <c r="T142" s="130" t="s">
        <v>31</v>
      </c>
      <c r="U142" s="136"/>
    </row>
    <row r="143" spans="1:21" ht="15.75" thickBot="1">
      <c r="A143" s="45">
        <v>1021</v>
      </c>
      <c r="B143" s="45">
        <v>1022</v>
      </c>
      <c r="C143" s="123"/>
      <c r="D143" s="123"/>
      <c r="E143" s="123"/>
      <c r="F143" s="123"/>
      <c r="G143" s="127" t="s">
        <v>52</v>
      </c>
      <c r="H143" s="128">
        <v>2014</v>
      </c>
      <c r="I143" s="128" t="s">
        <v>21</v>
      </c>
      <c r="J143" s="128">
        <f t="shared" si="4"/>
        <v>8</v>
      </c>
      <c r="K143" s="128" t="s">
        <v>61</v>
      </c>
      <c r="L143" s="128" t="s">
        <v>40</v>
      </c>
      <c r="M143" s="129" t="s">
        <v>31</v>
      </c>
      <c r="N143" s="129" t="s">
        <v>28</v>
      </c>
      <c r="O143" s="129" t="s">
        <v>32</v>
      </c>
      <c r="P143" s="129" t="str">
        <f t="shared" si="5"/>
        <v>N</v>
      </c>
      <c r="Q143" s="128" t="s">
        <v>1174</v>
      </c>
      <c r="R143" s="128">
        <v>19.788</v>
      </c>
      <c r="S143" s="130"/>
      <c r="T143" s="130" t="s">
        <v>31</v>
      </c>
      <c r="U143" s="136"/>
    </row>
    <row r="144" spans="1:21" ht="15.75" hidden="1" thickBot="1">
      <c r="A144" s="45">
        <v>1021</v>
      </c>
      <c r="B144" s="45">
        <v>1022</v>
      </c>
      <c r="C144" s="123"/>
      <c r="D144" s="123"/>
      <c r="E144" s="123"/>
      <c r="F144" s="123"/>
      <c r="G144" s="127" t="s">
        <v>52</v>
      </c>
      <c r="H144" s="128">
        <v>2014</v>
      </c>
      <c r="I144" s="128" t="s">
        <v>21</v>
      </c>
      <c r="J144" s="128">
        <f t="shared" si="4"/>
        <v>8</v>
      </c>
      <c r="K144" s="128" t="s">
        <v>54</v>
      </c>
      <c r="L144" s="128" t="s">
        <v>30</v>
      </c>
      <c r="M144" s="129" t="s">
        <v>1065</v>
      </c>
      <c r="N144" s="129" t="s">
        <v>32</v>
      </c>
      <c r="O144" s="129" t="s">
        <v>28</v>
      </c>
      <c r="P144" s="129" t="str">
        <f t="shared" si="5"/>
        <v>N/A</v>
      </c>
      <c r="Q144" s="128" t="s">
        <v>1175</v>
      </c>
      <c r="R144" s="128">
        <v>19.791</v>
      </c>
      <c r="S144" s="130"/>
      <c r="T144" s="130" t="s">
        <v>1015</v>
      </c>
      <c r="U144" s="142" t="s">
        <v>1176</v>
      </c>
    </row>
    <row r="145" spans="1:21" ht="15.75" hidden="1" thickBot="1">
      <c r="A145" s="45">
        <v>1021</v>
      </c>
      <c r="B145" s="45">
        <v>1022</v>
      </c>
      <c r="C145" s="123"/>
      <c r="D145" s="123"/>
      <c r="E145" s="123"/>
      <c r="F145" s="123"/>
      <c r="G145" s="127" t="s">
        <v>52</v>
      </c>
      <c r="H145" s="128">
        <v>2014</v>
      </c>
      <c r="I145" s="128" t="s">
        <v>21</v>
      </c>
      <c r="J145" s="128">
        <f t="shared" si="4"/>
        <v>8</v>
      </c>
      <c r="K145" s="128" t="s">
        <v>1177</v>
      </c>
      <c r="L145" s="128" t="s">
        <v>30</v>
      </c>
      <c r="M145" s="129" t="s">
        <v>31</v>
      </c>
      <c r="N145" s="129" t="s">
        <v>28</v>
      </c>
      <c r="O145" s="129" t="s">
        <v>28</v>
      </c>
      <c r="P145" s="129" t="str">
        <f t="shared" si="5"/>
        <v>N/A</v>
      </c>
      <c r="Q145" s="128" t="s">
        <v>1178</v>
      </c>
      <c r="R145" s="128">
        <v>7.95</v>
      </c>
      <c r="S145" s="130"/>
      <c r="T145" s="130" t="s">
        <v>31</v>
      </c>
      <c r="U145" s="136"/>
    </row>
    <row r="146" spans="1:21" ht="64.5" hidden="1" thickBot="1">
      <c r="A146" s="45">
        <v>1021</v>
      </c>
      <c r="B146" s="45">
        <v>1022</v>
      </c>
      <c r="C146" s="123"/>
      <c r="D146" s="123"/>
      <c r="E146" s="123"/>
      <c r="F146" s="123"/>
      <c r="G146" s="127" t="s">
        <v>52</v>
      </c>
      <c r="H146" s="128">
        <v>2014</v>
      </c>
      <c r="I146" s="128" t="s">
        <v>21</v>
      </c>
      <c r="J146" s="128">
        <f t="shared" si="4"/>
        <v>8</v>
      </c>
      <c r="K146" s="128" t="s">
        <v>1179</v>
      </c>
      <c r="L146" s="128" t="s">
        <v>30</v>
      </c>
      <c r="M146" s="129" t="s">
        <v>1065</v>
      </c>
      <c r="N146" s="129" t="s">
        <v>28</v>
      </c>
      <c r="O146" s="129" t="s">
        <v>28</v>
      </c>
      <c r="P146" s="129" t="str">
        <f t="shared" si="5"/>
        <v>N/A</v>
      </c>
      <c r="Q146" s="128" t="s">
        <v>1180</v>
      </c>
      <c r="R146" s="128">
        <v>14.67</v>
      </c>
      <c r="S146" s="130"/>
      <c r="T146" s="130" t="s">
        <v>1181</v>
      </c>
      <c r="U146" s="136" t="s">
        <v>1182</v>
      </c>
    </row>
    <row r="147" spans="1:21" ht="15.75" hidden="1" thickBot="1">
      <c r="A147" s="45">
        <v>1021</v>
      </c>
      <c r="B147" s="45">
        <v>1022</v>
      </c>
      <c r="C147" s="123"/>
      <c r="D147" s="123"/>
      <c r="E147" s="123"/>
      <c r="F147" s="123"/>
      <c r="G147" s="127" t="s">
        <v>52</v>
      </c>
      <c r="H147" s="128">
        <v>2014</v>
      </c>
      <c r="I147" s="128" t="s">
        <v>21</v>
      </c>
      <c r="J147" s="128">
        <f t="shared" si="4"/>
        <v>8</v>
      </c>
      <c r="K147" s="128" t="s">
        <v>1183</v>
      </c>
      <c r="L147" s="128" t="s">
        <v>30</v>
      </c>
      <c r="M147" s="129" t="s">
        <v>1065</v>
      </c>
      <c r="N147" s="129" t="s">
        <v>28</v>
      </c>
      <c r="O147" s="129" t="s">
        <v>28</v>
      </c>
      <c r="P147" s="129" t="str">
        <f t="shared" si="5"/>
        <v>N/A</v>
      </c>
      <c r="Q147" s="128" t="s">
        <v>1184</v>
      </c>
      <c r="R147" s="128">
        <v>3.79</v>
      </c>
      <c r="S147" s="130"/>
      <c r="T147" s="130"/>
      <c r="U147" s="134" t="s">
        <v>1185</v>
      </c>
    </row>
    <row r="148" spans="1:21" ht="15.75" hidden="1" thickBot="1">
      <c r="A148" s="45">
        <v>1021</v>
      </c>
      <c r="B148" s="45">
        <v>1022</v>
      </c>
      <c r="C148" s="123"/>
      <c r="D148" s="123"/>
      <c r="E148" s="123"/>
      <c r="F148" s="123"/>
      <c r="G148" s="127" t="s">
        <v>52</v>
      </c>
      <c r="H148" s="128">
        <v>2014</v>
      </c>
      <c r="I148" s="128" t="s">
        <v>21</v>
      </c>
      <c r="J148" s="128">
        <f t="shared" si="4"/>
        <v>8</v>
      </c>
      <c r="K148" s="128" t="s">
        <v>56</v>
      </c>
      <c r="L148" s="128" t="s">
        <v>40</v>
      </c>
      <c r="M148" s="129" t="s">
        <v>31</v>
      </c>
      <c r="N148" s="129" t="s">
        <v>32</v>
      </c>
      <c r="O148" s="129" t="s">
        <v>32</v>
      </c>
      <c r="P148" s="129" t="str">
        <f t="shared" si="5"/>
        <v>Y</v>
      </c>
      <c r="Q148" s="128" t="s">
        <v>1141</v>
      </c>
      <c r="R148" s="128">
        <v>20.64</v>
      </c>
      <c r="S148" s="130"/>
      <c r="T148" s="130" t="s">
        <v>31</v>
      </c>
      <c r="U148" s="136"/>
    </row>
    <row r="149" spans="1:21" ht="15.75" hidden="1" thickBot="1">
      <c r="A149" s="45">
        <v>1023</v>
      </c>
      <c r="B149" s="45"/>
      <c r="C149" s="123"/>
      <c r="D149" s="123"/>
      <c r="E149" s="123"/>
      <c r="F149" s="123"/>
      <c r="G149" s="127" t="s">
        <v>52</v>
      </c>
      <c r="H149" s="128">
        <v>2014</v>
      </c>
      <c r="I149" s="128" t="s">
        <v>38</v>
      </c>
      <c r="J149" s="128">
        <f t="shared" si="4"/>
        <v>4</v>
      </c>
      <c r="K149" s="128" t="s">
        <v>1186</v>
      </c>
      <c r="L149" s="128" t="s">
        <v>30</v>
      </c>
      <c r="M149" s="129" t="s">
        <v>31</v>
      </c>
      <c r="N149" s="129" t="s">
        <v>28</v>
      </c>
      <c r="O149" s="129" t="s">
        <v>28</v>
      </c>
      <c r="P149" s="129" t="str">
        <f t="shared" si="5"/>
        <v>N/A</v>
      </c>
      <c r="Q149" s="128" t="s">
        <v>1187</v>
      </c>
      <c r="R149" s="128">
        <v>6.84</v>
      </c>
      <c r="S149" s="130"/>
      <c r="T149" s="130" t="s">
        <v>31</v>
      </c>
      <c r="U149" s="136"/>
    </row>
    <row r="150" spans="1:21" ht="26.25" hidden="1" thickBot="1">
      <c r="A150" s="45">
        <v>1023</v>
      </c>
      <c r="B150" s="123"/>
      <c r="C150" s="123"/>
      <c r="D150" s="123"/>
      <c r="E150" s="123"/>
      <c r="F150" s="123"/>
      <c r="G150" s="127" t="s">
        <v>52</v>
      </c>
      <c r="H150" s="128">
        <v>2014</v>
      </c>
      <c r="I150" s="128" t="s">
        <v>38</v>
      </c>
      <c r="J150" s="128">
        <f t="shared" si="4"/>
        <v>4</v>
      </c>
      <c r="K150" s="128" t="s">
        <v>64</v>
      </c>
      <c r="L150" s="128" t="s">
        <v>40</v>
      </c>
      <c r="M150" s="129" t="s">
        <v>34</v>
      </c>
      <c r="N150" s="129" t="s">
        <v>28</v>
      </c>
      <c r="O150" s="129" t="s">
        <v>28</v>
      </c>
      <c r="P150" s="129" t="str">
        <f t="shared" si="5"/>
        <v>N/A</v>
      </c>
      <c r="Q150" s="128" t="s">
        <v>1188</v>
      </c>
      <c r="R150" s="128">
        <v>20.43</v>
      </c>
      <c r="S150" s="130"/>
      <c r="T150" s="130" t="s">
        <v>1051</v>
      </c>
      <c r="U150" s="136"/>
    </row>
    <row r="151" spans="1:21" ht="15.75" hidden="1" thickBot="1">
      <c r="A151" s="45">
        <v>1023</v>
      </c>
      <c r="B151" s="123"/>
      <c r="C151" s="123"/>
      <c r="D151" s="123"/>
      <c r="E151" s="123"/>
      <c r="F151" s="123"/>
      <c r="G151" s="127" t="s">
        <v>52</v>
      </c>
      <c r="H151" s="128">
        <v>2014</v>
      </c>
      <c r="I151" s="128" t="s">
        <v>38</v>
      </c>
      <c r="J151" s="128">
        <f t="shared" si="4"/>
        <v>4</v>
      </c>
      <c r="K151" s="128" t="s">
        <v>60</v>
      </c>
      <c r="L151" s="128" t="s">
        <v>40</v>
      </c>
      <c r="M151" s="129" t="s">
        <v>31</v>
      </c>
      <c r="N151" s="129" t="s">
        <v>28</v>
      </c>
      <c r="O151" s="129" t="s">
        <v>28</v>
      </c>
      <c r="P151" s="129" t="str">
        <f t="shared" si="5"/>
        <v>N/A</v>
      </c>
      <c r="Q151" s="128" t="s">
        <v>1166</v>
      </c>
      <c r="R151" s="128">
        <v>19.37</v>
      </c>
      <c r="S151" s="130"/>
      <c r="T151" s="130" t="s">
        <v>31</v>
      </c>
      <c r="U151" s="136"/>
    </row>
    <row r="152" spans="1:21" ht="15.75" hidden="1" thickBot="1">
      <c r="A152" s="45">
        <v>1023</v>
      </c>
      <c r="B152" s="123"/>
      <c r="C152" s="123"/>
      <c r="D152" s="123"/>
      <c r="E152" s="123"/>
      <c r="F152" s="123"/>
      <c r="G152" s="127" t="s">
        <v>52</v>
      </c>
      <c r="H152" s="128">
        <v>2014</v>
      </c>
      <c r="I152" s="128" t="s">
        <v>38</v>
      </c>
      <c r="J152" s="128">
        <f t="shared" si="4"/>
        <v>4</v>
      </c>
      <c r="K152" s="128" t="s">
        <v>57</v>
      </c>
      <c r="L152" s="128" t="s">
        <v>30</v>
      </c>
      <c r="M152" s="129" t="s">
        <v>31</v>
      </c>
      <c r="N152" s="129" t="s">
        <v>32</v>
      </c>
      <c r="O152" s="129" t="s">
        <v>32</v>
      </c>
      <c r="P152" s="129" t="str">
        <f t="shared" si="5"/>
        <v>Y</v>
      </c>
      <c r="Q152" s="128" t="s">
        <v>1189</v>
      </c>
      <c r="R152" s="128">
        <v>53.36</v>
      </c>
      <c r="S152" s="130"/>
      <c r="T152" s="130" t="s">
        <v>31</v>
      </c>
      <c r="U152" s="136"/>
    </row>
    <row r="153" spans="1:21" ht="15.75" hidden="1" thickBot="1">
      <c r="A153" s="45">
        <v>1078</v>
      </c>
      <c r="B153" s="123"/>
      <c r="C153" s="123"/>
      <c r="D153" s="123"/>
      <c r="E153" s="123"/>
      <c r="F153" s="123"/>
      <c r="G153" s="127" t="s">
        <v>69</v>
      </c>
      <c r="H153" s="128">
        <v>2000</v>
      </c>
      <c r="I153" s="128" t="s">
        <v>91</v>
      </c>
      <c r="J153" s="128">
        <f t="shared" si="4"/>
        <v>5</v>
      </c>
      <c r="K153" s="128" t="s">
        <v>1190</v>
      </c>
      <c r="L153" s="128" t="s">
        <v>30</v>
      </c>
      <c r="M153" s="129" t="s">
        <v>201</v>
      </c>
      <c r="N153" s="129" t="s">
        <v>28</v>
      </c>
      <c r="O153" s="129" t="s">
        <v>28</v>
      </c>
      <c r="P153" s="129" t="str">
        <f t="shared" si="5"/>
        <v>N/A</v>
      </c>
      <c r="Q153" s="128" t="s">
        <v>1191</v>
      </c>
      <c r="R153" s="128">
        <v>4.5</v>
      </c>
      <c r="S153" s="130"/>
      <c r="T153" s="130" t="s">
        <v>31</v>
      </c>
      <c r="U153" s="131"/>
    </row>
    <row r="154" spans="1:21" ht="26.25" thickBot="1">
      <c r="A154" s="45">
        <v>1078</v>
      </c>
      <c r="B154" s="123"/>
      <c r="C154" s="123"/>
      <c r="D154" s="123"/>
      <c r="E154" s="123"/>
      <c r="F154" s="123"/>
      <c r="G154" s="127" t="s">
        <v>69</v>
      </c>
      <c r="H154" s="128">
        <v>2000</v>
      </c>
      <c r="I154" s="128" t="s">
        <v>91</v>
      </c>
      <c r="J154" s="128">
        <f t="shared" si="4"/>
        <v>5</v>
      </c>
      <c r="K154" s="128" t="s">
        <v>1192</v>
      </c>
      <c r="L154" s="128" t="s">
        <v>40</v>
      </c>
      <c r="M154" s="129" t="s">
        <v>201</v>
      </c>
      <c r="N154" s="129" t="s">
        <v>28</v>
      </c>
      <c r="O154" s="129"/>
      <c r="P154" s="129" t="str">
        <f t="shared" si="5"/>
        <v/>
      </c>
      <c r="Q154" s="132" t="s">
        <v>1193</v>
      </c>
      <c r="R154" s="128">
        <v>26.73</v>
      </c>
      <c r="S154" s="130"/>
      <c r="T154" s="130" t="s">
        <v>1194</v>
      </c>
      <c r="U154" s="131"/>
    </row>
    <row r="155" spans="1:21" ht="26.25" thickBot="1">
      <c r="A155" s="45">
        <v>1078</v>
      </c>
      <c r="B155" s="123"/>
      <c r="C155" s="123"/>
      <c r="D155" s="123"/>
      <c r="E155" s="123"/>
      <c r="F155" s="123"/>
      <c r="G155" s="127" t="s">
        <v>69</v>
      </c>
      <c r="H155" s="128">
        <v>2000</v>
      </c>
      <c r="I155" s="128" t="s">
        <v>91</v>
      </c>
      <c r="J155" s="128">
        <f t="shared" si="4"/>
        <v>5</v>
      </c>
      <c r="K155" s="128" t="s">
        <v>1195</v>
      </c>
      <c r="L155" s="128" t="s">
        <v>40</v>
      </c>
      <c r="M155" s="129" t="s">
        <v>201</v>
      </c>
      <c r="N155" s="129" t="s">
        <v>28</v>
      </c>
      <c r="O155" s="129"/>
      <c r="P155" s="129" t="str">
        <f t="shared" si="5"/>
        <v/>
      </c>
      <c r="Q155" s="128" t="s">
        <v>1196</v>
      </c>
      <c r="R155" s="128">
        <v>8.6999999999999993</v>
      </c>
      <c r="S155" s="130"/>
      <c r="T155" s="130" t="s">
        <v>1197</v>
      </c>
      <c r="U155" s="131"/>
    </row>
    <row r="156" spans="1:21" ht="15.75" thickBot="1">
      <c r="A156" s="45">
        <v>1078</v>
      </c>
      <c r="B156" s="123"/>
      <c r="C156" s="123"/>
      <c r="D156" s="123"/>
      <c r="E156" s="123"/>
      <c r="F156" s="123"/>
      <c r="G156" s="127" t="s">
        <v>69</v>
      </c>
      <c r="H156" s="128">
        <v>2000</v>
      </c>
      <c r="I156" s="128" t="s">
        <v>91</v>
      </c>
      <c r="J156" s="128">
        <f t="shared" si="4"/>
        <v>5</v>
      </c>
      <c r="K156" s="128" t="s">
        <v>1198</v>
      </c>
      <c r="L156" s="128" t="s">
        <v>40</v>
      </c>
      <c r="M156" s="129" t="s">
        <v>31</v>
      </c>
      <c r="N156" s="129" t="s">
        <v>28</v>
      </c>
      <c r="O156" s="129"/>
      <c r="P156" s="129" t="str">
        <f t="shared" si="5"/>
        <v/>
      </c>
      <c r="Q156" s="128" t="s">
        <v>1199</v>
      </c>
      <c r="R156" s="128">
        <v>4.7300000000000004</v>
      </c>
      <c r="S156" s="130"/>
      <c r="T156" s="130" t="s">
        <v>31</v>
      </c>
      <c r="U156" s="131"/>
    </row>
    <row r="157" spans="1:21" ht="26.25" thickBot="1">
      <c r="A157" s="45">
        <v>1078</v>
      </c>
      <c r="B157" s="123"/>
      <c r="C157" s="123"/>
      <c r="D157" s="123"/>
      <c r="E157" s="123"/>
      <c r="F157" s="123"/>
      <c r="G157" s="127" t="s">
        <v>69</v>
      </c>
      <c r="H157" s="128">
        <v>2000</v>
      </c>
      <c r="I157" s="128" t="s">
        <v>91</v>
      </c>
      <c r="J157" s="128">
        <f t="shared" si="4"/>
        <v>5</v>
      </c>
      <c r="K157" s="128" t="s">
        <v>107</v>
      </c>
      <c r="L157" s="128" t="s">
        <v>40</v>
      </c>
      <c r="M157" s="129" t="s">
        <v>201</v>
      </c>
      <c r="N157" s="129" t="s">
        <v>32</v>
      </c>
      <c r="O157" s="129"/>
      <c r="P157" s="129" t="str">
        <f t="shared" si="5"/>
        <v/>
      </c>
      <c r="Q157" s="128" t="s">
        <v>1200</v>
      </c>
      <c r="R157" s="128">
        <v>55.33</v>
      </c>
      <c r="S157" s="130"/>
      <c r="T157" s="130" t="s">
        <v>1197</v>
      </c>
      <c r="U157" s="131"/>
    </row>
    <row r="158" spans="1:21" ht="15.75" hidden="1" thickBot="1">
      <c r="A158" s="45">
        <v>1079</v>
      </c>
      <c r="B158" s="123"/>
      <c r="C158" s="123"/>
      <c r="D158" s="123"/>
      <c r="E158" s="123"/>
      <c r="F158" s="123"/>
      <c r="G158" s="127" t="s">
        <v>69</v>
      </c>
      <c r="H158" s="128">
        <v>2000</v>
      </c>
      <c r="I158" s="128" t="s">
        <v>94</v>
      </c>
      <c r="J158" s="128">
        <f t="shared" si="4"/>
        <v>3</v>
      </c>
      <c r="K158" s="128" t="s">
        <v>108</v>
      </c>
      <c r="L158" s="128" t="s">
        <v>40</v>
      </c>
      <c r="M158" s="129" t="s">
        <v>201</v>
      </c>
      <c r="N158" s="129" t="s">
        <v>32</v>
      </c>
      <c r="O158" s="129" t="s">
        <v>32</v>
      </c>
      <c r="P158" s="129" t="str">
        <f t="shared" si="5"/>
        <v>Y</v>
      </c>
      <c r="Q158" s="128" t="s">
        <v>1201</v>
      </c>
      <c r="R158" s="128">
        <v>73.31</v>
      </c>
      <c r="S158" s="130"/>
      <c r="T158" s="130" t="s">
        <v>1202</v>
      </c>
      <c r="U158" s="131"/>
    </row>
    <row r="159" spans="1:21" ht="15.75" thickBot="1">
      <c r="A159" s="45">
        <v>1079</v>
      </c>
      <c r="B159" s="123"/>
      <c r="C159" s="123"/>
      <c r="D159" s="123"/>
      <c r="E159" s="123"/>
      <c r="F159" s="123"/>
      <c r="G159" s="127" t="s">
        <v>69</v>
      </c>
      <c r="H159" s="128">
        <v>2000</v>
      </c>
      <c r="I159" s="128" t="s">
        <v>94</v>
      </c>
      <c r="J159" s="128">
        <f t="shared" si="4"/>
        <v>3</v>
      </c>
      <c r="K159" s="128" t="s">
        <v>1203</v>
      </c>
      <c r="L159" s="128" t="s">
        <v>30</v>
      </c>
      <c r="M159" s="129" t="s">
        <v>1003</v>
      </c>
      <c r="N159" s="129" t="s">
        <v>28</v>
      </c>
      <c r="O159" s="129"/>
      <c r="P159" s="129" t="str">
        <f t="shared" si="5"/>
        <v/>
      </c>
      <c r="Q159" s="130"/>
      <c r="R159" s="128">
        <v>19.61</v>
      </c>
      <c r="S159" s="130"/>
      <c r="T159" s="130" t="s">
        <v>31</v>
      </c>
      <c r="U159" s="131"/>
    </row>
    <row r="160" spans="1:21" ht="15.75" thickBot="1">
      <c r="A160" s="45">
        <v>1079</v>
      </c>
      <c r="B160" s="123"/>
      <c r="C160" s="123"/>
      <c r="D160" s="123"/>
      <c r="E160" s="123"/>
      <c r="F160" s="123"/>
      <c r="G160" s="127" t="s">
        <v>69</v>
      </c>
      <c r="H160" s="128">
        <v>2000</v>
      </c>
      <c r="I160" s="128" t="s">
        <v>94</v>
      </c>
      <c r="J160" s="128">
        <f t="shared" si="4"/>
        <v>3</v>
      </c>
      <c r="K160" s="128" t="s">
        <v>1204</v>
      </c>
      <c r="L160" s="128" t="s">
        <v>40</v>
      </c>
      <c r="M160" s="129" t="s">
        <v>1003</v>
      </c>
      <c r="N160" s="129" t="s">
        <v>28</v>
      </c>
      <c r="O160" s="129"/>
      <c r="P160" s="129" t="str">
        <f t="shared" si="5"/>
        <v/>
      </c>
      <c r="Q160" s="128" t="s">
        <v>1205</v>
      </c>
      <c r="R160" s="128">
        <v>7.08</v>
      </c>
      <c r="S160" s="130"/>
      <c r="T160" s="130" t="s">
        <v>31</v>
      </c>
      <c r="U160" s="131"/>
    </row>
    <row r="161" spans="1:21" ht="15.75" thickBot="1">
      <c r="A161" s="45">
        <v>1080</v>
      </c>
      <c r="B161" s="123"/>
      <c r="C161" s="123"/>
      <c r="D161" s="123"/>
      <c r="E161" s="123"/>
      <c r="F161" s="123"/>
      <c r="G161" s="127" t="s">
        <v>69</v>
      </c>
      <c r="H161" s="128">
        <v>2000</v>
      </c>
      <c r="I161" s="128" t="s">
        <v>97</v>
      </c>
      <c r="J161" s="128">
        <f t="shared" si="4"/>
        <v>5</v>
      </c>
      <c r="K161" s="128" t="s">
        <v>1206</v>
      </c>
      <c r="L161" s="128" t="s">
        <v>30</v>
      </c>
      <c r="M161" s="129" t="s">
        <v>31</v>
      </c>
      <c r="N161" s="129" t="s">
        <v>28</v>
      </c>
      <c r="O161" s="129"/>
      <c r="P161" s="129" t="str">
        <f t="shared" si="5"/>
        <v/>
      </c>
      <c r="Q161" s="128" t="s">
        <v>1207</v>
      </c>
      <c r="R161" s="128">
        <v>8.99</v>
      </c>
      <c r="S161" s="130"/>
      <c r="T161" s="130" t="s">
        <v>31</v>
      </c>
      <c r="U161" s="131"/>
    </row>
    <row r="162" spans="1:21" ht="15.75" thickBot="1">
      <c r="A162" s="45">
        <v>1080</v>
      </c>
      <c r="B162" s="123"/>
      <c r="C162" s="123"/>
      <c r="D162" s="123"/>
      <c r="E162" s="123"/>
      <c r="F162" s="123"/>
      <c r="G162" s="127" t="s">
        <v>69</v>
      </c>
      <c r="H162" s="128">
        <v>2000</v>
      </c>
      <c r="I162" s="128" t="s">
        <v>97</v>
      </c>
      <c r="J162" s="128">
        <f t="shared" si="4"/>
        <v>5</v>
      </c>
      <c r="K162" s="128" t="s">
        <v>1208</v>
      </c>
      <c r="L162" s="128" t="s">
        <v>40</v>
      </c>
      <c r="M162" s="129" t="s">
        <v>31</v>
      </c>
      <c r="N162" s="129" t="s">
        <v>28</v>
      </c>
      <c r="O162" s="129"/>
      <c r="P162" s="129" t="str">
        <f t="shared" si="5"/>
        <v/>
      </c>
      <c r="Q162" s="128" t="s">
        <v>1209</v>
      </c>
      <c r="R162" s="128">
        <v>15.03</v>
      </c>
      <c r="S162" s="130"/>
      <c r="T162" s="130" t="s">
        <v>31</v>
      </c>
      <c r="U162" s="131"/>
    </row>
    <row r="163" spans="1:21" ht="15.75" thickBot="1">
      <c r="A163" s="45">
        <v>1080</v>
      </c>
      <c r="B163" s="123"/>
      <c r="C163" s="123"/>
      <c r="D163" s="123"/>
      <c r="E163" s="123"/>
      <c r="F163" s="123"/>
      <c r="G163" s="127" t="s">
        <v>69</v>
      </c>
      <c r="H163" s="128">
        <v>2000</v>
      </c>
      <c r="I163" s="128" t="s">
        <v>97</v>
      </c>
      <c r="J163" s="128">
        <f t="shared" si="4"/>
        <v>5</v>
      </c>
      <c r="K163" s="128" t="s">
        <v>1210</v>
      </c>
      <c r="L163" s="128" t="s">
        <v>30</v>
      </c>
      <c r="M163" s="129" t="s">
        <v>31</v>
      </c>
      <c r="N163" s="129" t="s">
        <v>28</v>
      </c>
      <c r="O163" s="129"/>
      <c r="P163" s="129" t="str">
        <f t="shared" si="5"/>
        <v/>
      </c>
      <c r="Q163" s="128" t="s">
        <v>1004</v>
      </c>
      <c r="R163" s="128">
        <v>1.98</v>
      </c>
      <c r="S163" s="130"/>
      <c r="T163" s="130" t="s">
        <v>31</v>
      </c>
      <c r="U163" s="131"/>
    </row>
    <row r="164" spans="1:21" ht="15.75" thickBot="1">
      <c r="A164" s="45">
        <v>1080</v>
      </c>
      <c r="B164" s="123"/>
      <c r="C164" s="123"/>
      <c r="D164" s="123"/>
      <c r="E164" s="123"/>
      <c r="F164" s="123"/>
      <c r="G164" s="127" t="s">
        <v>69</v>
      </c>
      <c r="H164" s="128">
        <v>2000</v>
      </c>
      <c r="I164" s="128" t="s">
        <v>97</v>
      </c>
      <c r="J164" s="128">
        <f t="shared" si="4"/>
        <v>5</v>
      </c>
      <c r="K164" s="128" t="s">
        <v>109</v>
      </c>
      <c r="L164" s="128" t="s">
        <v>40</v>
      </c>
      <c r="M164" s="129" t="s">
        <v>31</v>
      </c>
      <c r="N164" s="129" t="s">
        <v>32</v>
      </c>
      <c r="O164" s="129"/>
      <c r="P164" s="129" t="str">
        <f t="shared" si="5"/>
        <v/>
      </c>
      <c r="Q164" s="128" t="s">
        <v>1004</v>
      </c>
      <c r="R164" s="128">
        <v>56.93</v>
      </c>
      <c r="S164" s="130"/>
      <c r="T164" s="130" t="s">
        <v>31</v>
      </c>
      <c r="U164" s="131"/>
    </row>
    <row r="165" spans="1:21" ht="15.75" thickBot="1">
      <c r="A165" s="45">
        <v>1080</v>
      </c>
      <c r="B165" s="123"/>
      <c r="C165" s="123"/>
      <c r="D165" s="123"/>
      <c r="E165" s="123"/>
      <c r="F165" s="123"/>
      <c r="G165" s="127" t="s">
        <v>69</v>
      </c>
      <c r="H165" s="128">
        <v>2000</v>
      </c>
      <c r="I165" s="128" t="s">
        <v>97</v>
      </c>
      <c r="J165" s="128">
        <f t="shared" si="4"/>
        <v>5</v>
      </c>
      <c r="K165" s="128" t="s">
        <v>1211</v>
      </c>
      <c r="L165" s="128" t="s">
        <v>30</v>
      </c>
      <c r="M165" s="129" t="s">
        <v>1003</v>
      </c>
      <c r="N165" s="129" t="s">
        <v>28</v>
      </c>
      <c r="O165" s="129"/>
      <c r="P165" s="129" t="str">
        <f t="shared" si="5"/>
        <v/>
      </c>
      <c r="Q165" s="130"/>
      <c r="R165" s="128">
        <v>17.079999999999998</v>
      </c>
      <c r="S165" s="130"/>
      <c r="T165" s="130" t="s">
        <v>31</v>
      </c>
      <c r="U165" s="131"/>
    </row>
    <row r="166" spans="1:21" ht="15.75" hidden="1" thickBot="1">
      <c r="A166" s="45">
        <v>1081</v>
      </c>
      <c r="B166" s="123"/>
      <c r="C166" s="123"/>
      <c r="D166" s="123"/>
      <c r="E166" s="123"/>
      <c r="F166" s="123"/>
      <c r="G166" s="127" t="s">
        <v>69</v>
      </c>
      <c r="H166" s="128">
        <v>2000</v>
      </c>
      <c r="I166" s="128" t="s">
        <v>100</v>
      </c>
      <c r="J166" s="128">
        <f t="shared" si="4"/>
        <v>3</v>
      </c>
      <c r="K166" s="128" t="s">
        <v>106</v>
      </c>
      <c r="L166" s="128" t="s">
        <v>40</v>
      </c>
      <c r="M166" s="129" t="s">
        <v>31</v>
      </c>
      <c r="N166" s="129" t="s">
        <v>32</v>
      </c>
      <c r="O166" s="129" t="s">
        <v>32</v>
      </c>
      <c r="P166" s="129" t="str">
        <f t="shared" si="5"/>
        <v>Y</v>
      </c>
      <c r="Q166" s="130"/>
      <c r="R166" s="128">
        <v>63.14</v>
      </c>
      <c r="S166" s="130"/>
      <c r="T166" s="130" t="s">
        <v>31</v>
      </c>
      <c r="U166" s="131"/>
    </row>
    <row r="167" spans="1:21" ht="15.75" hidden="1" thickBot="1">
      <c r="A167" s="45">
        <v>1081</v>
      </c>
      <c r="B167" s="123"/>
      <c r="C167" s="123"/>
      <c r="D167" s="123"/>
      <c r="E167" s="123"/>
      <c r="F167" s="123"/>
      <c r="G167" s="127" t="s">
        <v>69</v>
      </c>
      <c r="H167" s="128">
        <v>2000</v>
      </c>
      <c r="I167" s="128" t="s">
        <v>100</v>
      </c>
      <c r="J167" s="128">
        <f t="shared" si="4"/>
        <v>3</v>
      </c>
      <c r="K167" s="128" t="s">
        <v>1212</v>
      </c>
      <c r="L167" s="128" t="s">
        <v>40</v>
      </c>
      <c r="M167" s="129" t="s">
        <v>31</v>
      </c>
      <c r="N167" s="129" t="s">
        <v>28</v>
      </c>
      <c r="O167" s="129" t="s">
        <v>28</v>
      </c>
      <c r="P167" s="129" t="str">
        <f t="shared" si="5"/>
        <v>N/A</v>
      </c>
      <c r="Q167" s="130"/>
      <c r="R167" s="128">
        <v>22.25</v>
      </c>
      <c r="S167" s="130"/>
      <c r="T167" s="130" t="s">
        <v>31</v>
      </c>
      <c r="U167" s="131"/>
    </row>
    <row r="168" spans="1:21" ht="15.75" thickBot="1">
      <c r="A168" s="45">
        <v>1081</v>
      </c>
      <c r="B168" s="123"/>
      <c r="C168" s="123"/>
      <c r="D168" s="123"/>
      <c r="E168" s="123"/>
      <c r="F168" s="123"/>
      <c r="G168" s="127" t="s">
        <v>69</v>
      </c>
      <c r="H168" s="128">
        <v>2000</v>
      </c>
      <c r="I168" s="128" t="s">
        <v>100</v>
      </c>
      <c r="J168" s="128">
        <f t="shared" si="4"/>
        <v>3</v>
      </c>
      <c r="K168" s="128" t="s">
        <v>1213</v>
      </c>
      <c r="L168" s="128" t="s">
        <v>40</v>
      </c>
      <c r="M168" s="129" t="s">
        <v>1003</v>
      </c>
      <c r="N168" s="129" t="s">
        <v>28</v>
      </c>
      <c r="O168" s="129"/>
      <c r="P168" s="129" t="str">
        <f t="shared" si="5"/>
        <v/>
      </c>
      <c r="Q168" s="130"/>
      <c r="R168" s="128">
        <v>14.61</v>
      </c>
      <c r="S168" s="130"/>
      <c r="T168" s="130" t="s">
        <v>31</v>
      </c>
      <c r="U168" s="131"/>
    </row>
    <row r="169" spans="1:21" ht="15.75" hidden="1" thickBot="1">
      <c r="A169" s="45">
        <v>1072</v>
      </c>
      <c r="B169" s="123"/>
      <c r="C169" s="123"/>
      <c r="D169" s="123"/>
      <c r="E169" s="123"/>
      <c r="F169" s="123"/>
      <c r="G169" s="127" t="s">
        <v>69</v>
      </c>
      <c r="H169" s="128">
        <v>2002</v>
      </c>
      <c r="I169" s="128" t="s">
        <v>38</v>
      </c>
      <c r="J169" s="128">
        <f t="shared" si="4"/>
        <v>3</v>
      </c>
      <c r="K169" s="128" t="s">
        <v>1214</v>
      </c>
      <c r="L169" s="128" t="s">
        <v>30</v>
      </c>
      <c r="M169" s="129" t="s">
        <v>31</v>
      </c>
      <c r="N169" s="129" t="s">
        <v>28</v>
      </c>
      <c r="O169" s="129" t="s">
        <v>28</v>
      </c>
      <c r="P169" s="129" t="str">
        <f t="shared" si="5"/>
        <v>N/A</v>
      </c>
      <c r="Q169" s="128" t="s">
        <v>1004</v>
      </c>
      <c r="R169" s="128">
        <v>1.45</v>
      </c>
      <c r="S169" s="130"/>
      <c r="T169" s="130" t="s">
        <v>31</v>
      </c>
      <c r="U169" s="131"/>
    </row>
    <row r="170" spans="1:21" ht="15.75" thickBot="1">
      <c r="A170" s="45">
        <v>1072</v>
      </c>
      <c r="B170" s="123"/>
      <c r="C170" s="123"/>
      <c r="D170" s="123"/>
      <c r="E170" s="123"/>
      <c r="F170" s="123"/>
      <c r="G170" s="127" t="s">
        <v>69</v>
      </c>
      <c r="H170" s="128">
        <v>2002</v>
      </c>
      <c r="I170" s="128" t="s">
        <v>38</v>
      </c>
      <c r="J170" s="128">
        <f t="shared" si="4"/>
        <v>3</v>
      </c>
      <c r="K170" s="128" t="s">
        <v>1215</v>
      </c>
      <c r="L170" s="128" t="s">
        <v>40</v>
      </c>
      <c r="M170" s="129" t="s">
        <v>31</v>
      </c>
      <c r="N170" s="129" t="s">
        <v>28</v>
      </c>
      <c r="O170" s="129" t="s">
        <v>32</v>
      </c>
      <c r="P170" s="129" t="str">
        <f t="shared" si="5"/>
        <v>N</v>
      </c>
      <c r="Q170" s="130"/>
      <c r="R170" s="128">
        <v>42.94</v>
      </c>
      <c r="S170" s="130"/>
      <c r="T170" s="130" t="s">
        <v>31</v>
      </c>
      <c r="U170" s="131"/>
    </row>
    <row r="171" spans="1:21" ht="15.75" hidden="1" thickBot="1">
      <c r="A171" s="45">
        <v>1072</v>
      </c>
      <c r="B171" s="123"/>
      <c r="C171" s="123"/>
      <c r="D171" s="123"/>
      <c r="E171" s="123"/>
      <c r="F171" s="123"/>
      <c r="G171" s="127" t="s">
        <v>69</v>
      </c>
      <c r="H171" s="128">
        <v>2002</v>
      </c>
      <c r="I171" s="128" t="s">
        <v>38</v>
      </c>
      <c r="J171" s="128">
        <f t="shared" si="4"/>
        <v>3</v>
      </c>
      <c r="K171" s="128" t="s">
        <v>90</v>
      </c>
      <c r="L171" s="128" t="s">
        <v>30</v>
      </c>
      <c r="M171" s="129" t="s">
        <v>31</v>
      </c>
      <c r="N171" s="129" t="s">
        <v>32</v>
      </c>
      <c r="O171" s="129" t="s">
        <v>32</v>
      </c>
      <c r="P171" s="129" t="str">
        <f t="shared" si="5"/>
        <v>Y</v>
      </c>
      <c r="Q171" s="130"/>
      <c r="R171" s="128">
        <v>55.4</v>
      </c>
      <c r="S171" s="130"/>
      <c r="T171" s="130" t="s">
        <v>31</v>
      </c>
      <c r="U171" s="131" t="s">
        <v>1216</v>
      </c>
    </row>
    <row r="172" spans="1:21" ht="15.75" hidden="1" thickBot="1">
      <c r="A172" s="45">
        <v>1073</v>
      </c>
      <c r="B172" s="123"/>
      <c r="C172" s="123"/>
      <c r="D172" s="123"/>
      <c r="E172" s="123"/>
      <c r="F172" s="123"/>
      <c r="G172" s="127" t="s">
        <v>69</v>
      </c>
      <c r="H172" s="128">
        <v>2002</v>
      </c>
      <c r="I172" s="128" t="s">
        <v>70</v>
      </c>
      <c r="J172" s="128">
        <f t="shared" si="4"/>
        <v>1</v>
      </c>
      <c r="K172" s="128" t="s">
        <v>75</v>
      </c>
      <c r="L172" s="128" t="s">
        <v>40</v>
      </c>
      <c r="M172" s="129" t="s">
        <v>31</v>
      </c>
      <c r="N172" s="129" t="s">
        <v>32</v>
      </c>
      <c r="O172" s="129" t="s">
        <v>32</v>
      </c>
      <c r="P172" s="129" t="str">
        <f t="shared" si="5"/>
        <v>Y</v>
      </c>
      <c r="Q172" s="130"/>
      <c r="R172" s="128">
        <v>99.13</v>
      </c>
      <c r="S172" s="130"/>
      <c r="T172" s="130" t="s">
        <v>31</v>
      </c>
      <c r="U172" s="131"/>
    </row>
    <row r="173" spans="1:21" ht="15.75" hidden="1" thickBot="1">
      <c r="A173" s="45">
        <v>1074</v>
      </c>
      <c r="B173" s="123"/>
      <c r="C173" s="123"/>
      <c r="D173" s="123"/>
      <c r="E173" s="123"/>
      <c r="F173" s="123"/>
      <c r="G173" s="127" t="s">
        <v>69</v>
      </c>
      <c r="H173" s="128">
        <v>2002</v>
      </c>
      <c r="I173" s="128" t="s">
        <v>76</v>
      </c>
      <c r="J173" s="128">
        <f t="shared" si="4"/>
        <v>2</v>
      </c>
      <c r="K173" s="128" t="s">
        <v>78</v>
      </c>
      <c r="L173" s="128" t="s">
        <v>40</v>
      </c>
      <c r="M173" s="129" t="s">
        <v>31</v>
      </c>
      <c r="N173" s="129" t="s">
        <v>32</v>
      </c>
      <c r="O173" s="129" t="s">
        <v>28</v>
      </c>
      <c r="P173" s="129" t="str">
        <f t="shared" si="5"/>
        <v>N/A</v>
      </c>
      <c r="Q173" s="130"/>
      <c r="R173" s="128">
        <v>85.54</v>
      </c>
      <c r="S173" s="130"/>
      <c r="T173" s="130" t="s">
        <v>31</v>
      </c>
      <c r="U173" s="131"/>
    </row>
    <row r="174" spans="1:21" ht="15.75" hidden="1" thickBot="1">
      <c r="A174" s="45">
        <v>1074</v>
      </c>
      <c r="B174" s="123"/>
      <c r="C174" s="123"/>
      <c r="D174" s="123"/>
      <c r="E174" s="123"/>
      <c r="F174" s="123"/>
      <c r="G174" s="127" t="s">
        <v>69</v>
      </c>
      <c r="H174" s="128">
        <v>2002</v>
      </c>
      <c r="I174" s="128" t="s">
        <v>76</v>
      </c>
      <c r="J174" s="128">
        <f t="shared" si="4"/>
        <v>2</v>
      </c>
      <c r="K174" s="128" t="s">
        <v>1217</v>
      </c>
      <c r="L174" s="128" t="s">
        <v>40</v>
      </c>
      <c r="M174" s="129" t="s">
        <v>1003</v>
      </c>
      <c r="N174" s="129" t="s">
        <v>28</v>
      </c>
      <c r="O174" s="129" t="s">
        <v>28</v>
      </c>
      <c r="P174" s="129" t="str">
        <f t="shared" si="5"/>
        <v>N/A</v>
      </c>
      <c r="Q174" s="128" t="s">
        <v>1218</v>
      </c>
      <c r="R174" s="128">
        <v>13.85</v>
      </c>
      <c r="S174" s="130"/>
      <c r="T174" s="130" t="s">
        <v>31</v>
      </c>
      <c r="U174" s="131"/>
    </row>
    <row r="175" spans="1:21" ht="15.75" hidden="1" thickBot="1">
      <c r="A175" s="45">
        <v>1075</v>
      </c>
      <c r="B175" s="123"/>
      <c r="C175" s="123"/>
      <c r="D175" s="123"/>
      <c r="E175" s="123"/>
      <c r="F175" s="123"/>
      <c r="G175" s="127" t="s">
        <v>69</v>
      </c>
      <c r="H175" s="128">
        <v>2002</v>
      </c>
      <c r="I175" s="128" t="s">
        <v>79</v>
      </c>
      <c r="J175" s="128">
        <f t="shared" si="4"/>
        <v>4</v>
      </c>
      <c r="K175" s="128" t="s">
        <v>1219</v>
      </c>
      <c r="L175" s="128" t="s">
        <v>30</v>
      </c>
      <c r="M175" s="129" t="s">
        <v>1003</v>
      </c>
      <c r="N175" s="129" t="s">
        <v>28</v>
      </c>
      <c r="O175" s="129" t="s">
        <v>28</v>
      </c>
      <c r="P175" s="129" t="str">
        <f t="shared" si="5"/>
        <v>N/A</v>
      </c>
      <c r="Q175" s="128" t="s">
        <v>1220</v>
      </c>
      <c r="R175" s="128">
        <v>21.11</v>
      </c>
      <c r="S175" s="130"/>
      <c r="T175" s="130" t="s">
        <v>31</v>
      </c>
      <c r="U175" s="131"/>
    </row>
    <row r="176" spans="1:21" ht="15.75" hidden="1" thickBot="1">
      <c r="A176" s="45">
        <v>1075</v>
      </c>
      <c r="B176" s="123"/>
      <c r="C176" s="123"/>
      <c r="D176" s="123"/>
      <c r="E176" s="123"/>
      <c r="F176" s="123"/>
      <c r="G176" s="127" t="s">
        <v>69</v>
      </c>
      <c r="H176" s="128">
        <v>2002</v>
      </c>
      <c r="I176" s="128" t="s">
        <v>79</v>
      </c>
      <c r="J176" s="128">
        <f t="shared" si="4"/>
        <v>4</v>
      </c>
      <c r="K176" s="128" t="s">
        <v>1221</v>
      </c>
      <c r="L176" s="128" t="s">
        <v>30</v>
      </c>
      <c r="M176" s="129" t="s">
        <v>31</v>
      </c>
      <c r="N176" s="129" t="s">
        <v>28</v>
      </c>
      <c r="O176" s="129" t="s">
        <v>28</v>
      </c>
      <c r="P176" s="129" t="str">
        <f t="shared" si="5"/>
        <v>N/A</v>
      </c>
      <c r="Q176" s="128" t="s">
        <v>1004</v>
      </c>
      <c r="R176" s="128">
        <v>1.96</v>
      </c>
      <c r="S176" s="130"/>
      <c r="T176" s="130" t="s">
        <v>31</v>
      </c>
      <c r="U176" s="131"/>
    </row>
    <row r="177" spans="1:21" ht="15.75" hidden="1" thickBot="1">
      <c r="A177" s="45">
        <v>1075</v>
      </c>
      <c r="B177" s="123"/>
      <c r="C177" s="123"/>
      <c r="D177" s="123"/>
      <c r="E177" s="123"/>
      <c r="F177" s="123"/>
      <c r="G177" s="127" t="s">
        <v>69</v>
      </c>
      <c r="H177" s="128">
        <v>2002</v>
      </c>
      <c r="I177" s="128" t="s">
        <v>79</v>
      </c>
      <c r="J177" s="128">
        <f t="shared" si="4"/>
        <v>4</v>
      </c>
      <c r="K177" s="128" t="s">
        <v>105</v>
      </c>
      <c r="L177" s="128" t="s">
        <v>40</v>
      </c>
      <c r="M177" s="129" t="s">
        <v>31</v>
      </c>
      <c r="N177" s="129" t="s">
        <v>32</v>
      </c>
      <c r="O177" s="129" t="s">
        <v>32</v>
      </c>
      <c r="P177" s="129" t="str">
        <f t="shared" si="5"/>
        <v>Y</v>
      </c>
      <c r="Q177" s="130"/>
      <c r="R177" s="128">
        <v>66.73</v>
      </c>
      <c r="S177" s="130"/>
      <c r="T177" s="130" t="s">
        <v>31</v>
      </c>
      <c r="U177" s="131" t="s">
        <v>1222</v>
      </c>
    </row>
    <row r="178" spans="1:21" ht="15.75" hidden="1" thickBot="1">
      <c r="A178" s="45">
        <v>1075</v>
      </c>
      <c r="B178" s="123"/>
      <c r="C178" s="123"/>
      <c r="D178" s="123"/>
      <c r="E178" s="123"/>
      <c r="F178" s="123"/>
      <c r="G178" s="127" t="s">
        <v>69</v>
      </c>
      <c r="H178" s="128">
        <v>2002</v>
      </c>
      <c r="I178" s="128" t="s">
        <v>79</v>
      </c>
      <c r="J178" s="128">
        <f t="shared" si="4"/>
        <v>4</v>
      </c>
      <c r="K178" s="128" t="s">
        <v>1223</v>
      </c>
      <c r="L178" s="128" t="s">
        <v>30</v>
      </c>
      <c r="M178" s="129" t="s">
        <v>1003</v>
      </c>
      <c r="N178" s="129" t="s">
        <v>28</v>
      </c>
      <c r="O178" s="129" t="s">
        <v>28</v>
      </c>
      <c r="P178" s="129" t="str">
        <f t="shared" si="5"/>
        <v>N/A</v>
      </c>
      <c r="Q178" s="130"/>
      <c r="R178" s="128">
        <v>9.91</v>
      </c>
      <c r="S178" s="130"/>
      <c r="T178" s="130" t="s">
        <v>31</v>
      </c>
      <c r="U178" s="131"/>
    </row>
    <row r="179" spans="1:21" ht="15.75" hidden="1" thickBot="1">
      <c r="A179" s="45">
        <v>1076</v>
      </c>
      <c r="B179" s="123"/>
      <c r="C179" s="123"/>
      <c r="D179" s="123"/>
      <c r="E179" s="123"/>
      <c r="F179" s="123"/>
      <c r="G179" s="127" t="s">
        <v>69</v>
      </c>
      <c r="H179" s="128">
        <v>2002</v>
      </c>
      <c r="I179" s="128" t="s">
        <v>82</v>
      </c>
      <c r="J179" s="128">
        <f t="shared" si="4"/>
        <v>2</v>
      </c>
      <c r="K179" s="128" t="s">
        <v>84</v>
      </c>
      <c r="L179" s="128" t="s">
        <v>30</v>
      </c>
      <c r="M179" s="129" t="s">
        <v>31</v>
      </c>
      <c r="N179" s="129" t="s">
        <v>32</v>
      </c>
      <c r="O179" s="129" t="s">
        <v>32</v>
      </c>
      <c r="P179" s="129" t="str">
        <f t="shared" si="5"/>
        <v>Y</v>
      </c>
      <c r="Q179" s="130"/>
      <c r="R179" s="128">
        <v>61.02</v>
      </c>
      <c r="S179" s="130"/>
      <c r="T179" s="130" t="s">
        <v>31</v>
      </c>
      <c r="U179" s="131"/>
    </row>
    <row r="180" spans="1:21" ht="15.75" hidden="1" thickBot="1">
      <c r="A180" s="45">
        <v>1076</v>
      </c>
      <c r="B180" s="123"/>
      <c r="C180" s="123"/>
      <c r="D180" s="123"/>
      <c r="E180" s="123"/>
      <c r="F180" s="123"/>
      <c r="G180" s="127" t="s">
        <v>69</v>
      </c>
      <c r="H180" s="128">
        <v>2002</v>
      </c>
      <c r="I180" s="128" t="s">
        <v>82</v>
      </c>
      <c r="J180" s="128">
        <f t="shared" si="4"/>
        <v>2</v>
      </c>
      <c r="K180" s="128" t="s">
        <v>1224</v>
      </c>
      <c r="L180" s="128" t="s">
        <v>30</v>
      </c>
      <c r="M180" s="129" t="s">
        <v>31</v>
      </c>
      <c r="N180" s="129" t="s">
        <v>28</v>
      </c>
      <c r="O180" s="129" t="s">
        <v>28</v>
      </c>
      <c r="P180" s="129" t="str">
        <f t="shared" si="5"/>
        <v>N/A</v>
      </c>
      <c r="Q180" s="128" t="s">
        <v>1225</v>
      </c>
      <c r="R180" s="128">
        <v>38.409999999999997</v>
      </c>
      <c r="S180" s="130"/>
      <c r="T180" s="130" t="s">
        <v>31</v>
      </c>
      <c r="U180" s="131"/>
    </row>
    <row r="181" spans="1:21" ht="15.75" hidden="1" thickBot="1">
      <c r="A181" s="45">
        <v>1077</v>
      </c>
      <c r="B181" s="123"/>
      <c r="C181" s="123"/>
      <c r="D181" s="123"/>
      <c r="E181" s="123"/>
      <c r="F181" s="123"/>
      <c r="G181" s="127" t="s">
        <v>69</v>
      </c>
      <c r="H181" s="128">
        <v>2002</v>
      </c>
      <c r="I181" s="128" t="s">
        <v>85</v>
      </c>
      <c r="J181" s="128">
        <f t="shared" si="4"/>
        <v>4</v>
      </c>
      <c r="K181" s="128" t="s">
        <v>1226</v>
      </c>
      <c r="L181" s="128" t="s">
        <v>30</v>
      </c>
      <c r="M181" s="129" t="s">
        <v>31</v>
      </c>
      <c r="N181" s="129" t="s">
        <v>28</v>
      </c>
      <c r="O181" s="129" t="s">
        <v>28</v>
      </c>
      <c r="P181" s="129" t="str">
        <f t="shared" si="5"/>
        <v>N/A</v>
      </c>
      <c r="Q181" s="128" t="s">
        <v>1227</v>
      </c>
      <c r="R181" s="128">
        <v>33.21</v>
      </c>
      <c r="S181" s="130"/>
      <c r="T181" s="130" t="s">
        <v>31</v>
      </c>
      <c r="U181" s="131" t="s">
        <v>1228</v>
      </c>
    </row>
    <row r="182" spans="1:21" ht="15.75" hidden="1" thickBot="1">
      <c r="A182" s="45">
        <v>1077</v>
      </c>
      <c r="B182" s="123"/>
      <c r="C182" s="123"/>
      <c r="D182" s="123"/>
      <c r="E182" s="123"/>
      <c r="F182" s="123"/>
      <c r="G182" s="127" t="s">
        <v>69</v>
      </c>
      <c r="H182" s="128">
        <v>2002</v>
      </c>
      <c r="I182" s="128" t="s">
        <v>85</v>
      </c>
      <c r="J182" s="128">
        <f t="shared" si="4"/>
        <v>4</v>
      </c>
      <c r="K182" s="128" t="s">
        <v>1229</v>
      </c>
      <c r="L182" s="128" t="s">
        <v>40</v>
      </c>
      <c r="M182" s="129" t="s">
        <v>31</v>
      </c>
      <c r="N182" s="129" t="s">
        <v>28</v>
      </c>
      <c r="O182" s="129" t="s">
        <v>28</v>
      </c>
      <c r="P182" s="129" t="str">
        <f t="shared" si="5"/>
        <v>N/A</v>
      </c>
      <c r="Q182" s="128" t="s">
        <v>1004</v>
      </c>
      <c r="R182" s="128">
        <v>19.850000000000001</v>
      </c>
      <c r="S182" s="130"/>
      <c r="T182" s="130" t="s">
        <v>31</v>
      </c>
      <c r="U182" s="131"/>
    </row>
    <row r="183" spans="1:21" ht="15.75" hidden="1" thickBot="1">
      <c r="A183" s="45">
        <v>1077</v>
      </c>
      <c r="B183" s="123"/>
      <c r="C183" s="123"/>
      <c r="D183" s="123"/>
      <c r="E183" s="123"/>
      <c r="F183" s="123"/>
      <c r="G183" s="127" t="s">
        <v>69</v>
      </c>
      <c r="H183" s="128">
        <v>2002</v>
      </c>
      <c r="I183" s="128" t="s">
        <v>85</v>
      </c>
      <c r="J183" s="128">
        <f t="shared" si="4"/>
        <v>4</v>
      </c>
      <c r="K183" s="128" t="s">
        <v>1230</v>
      </c>
      <c r="L183" s="128" t="s">
        <v>30</v>
      </c>
      <c r="M183" s="129" t="s">
        <v>31</v>
      </c>
      <c r="N183" s="129" t="s">
        <v>28</v>
      </c>
      <c r="O183" s="129" t="s">
        <v>28</v>
      </c>
      <c r="P183" s="129" t="str">
        <f t="shared" si="5"/>
        <v>N/A</v>
      </c>
      <c r="Q183" s="128" t="s">
        <v>1004</v>
      </c>
      <c r="R183" s="128">
        <v>2.63</v>
      </c>
      <c r="S183" s="130"/>
      <c r="T183" s="130" t="s">
        <v>31</v>
      </c>
      <c r="U183" s="131"/>
    </row>
    <row r="184" spans="1:21" ht="15.75" hidden="1" thickBot="1">
      <c r="A184" s="45">
        <v>1077</v>
      </c>
      <c r="B184" s="123"/>
      <c r="C184" s="123"/>
      <c r="D184" s="123"/>
      <c r="E184" s="123"/>
      <c r="F184" s="123"/>
      <c r="G184" s="127" t="s">
        <v>69</v>
      </c>
      <c r="H184" s="128">
        <v>2002</v>
      </c>
      <c r="I184" s="128" t="s">
        <v>85</v>
      </c>
      <c r="J184" s="128">
        <f t="shared" si="4"/>
        <v>4</v>
      </c>
      <c r="K184" s="128" t="s">
        <v>104</v>
      </c>
      <c r="L184" s="128" t="s">
        <v>30</v>
      </c>
      <c r="M184" s="129" t="s">
        <v>31</v>
      </c>
      <c r="N184" s="129" t="s">
        <v>32</v>
      </c>
      <c r="O184" s="129" t="s">
        <v>28</v>
      </c>
      <c r="P184" s="129" t="str">
        <f t="shared" si="5"/>
        <v>N/A</v>
      </c>
      <c r="Q184" s="130"/>
      <c r="R184" s="128">
        <v>44.25</v>
      </c>
      <c r="S184" s="130"/>
      <c r="T184" s="130" t="s">
        <v>31</v>
      </c>
      <c r="U184" s="131" t="s">
        <v>1231</v>
      </c>
    </row>
    <row r="185" spans="1:21" ht="15.75" hidden="1" thickBot="1">
      <c r="A185" s="45">
        <v>1068</v>
      </c>
      <c r="B185" s="123"/>
      <c r="C185" s="123"/>
      <c r="D185" s="123"/>
      <c r="E185" s="123"/>
      <c r="F185" s="123"/>
      <c r="G185" s="127" t="s">
        <v>69</v>
      </c>
      <c r="H185" s="128">
        <v>2004</v>
      </c>
      <c r="I185" s="128" t="s">
        <v>91</v>
      </c>
      <c r="J185" s="128">
        <f t="shared" si="4"/>
        <v>2</v>
      </c>
      <c r="K185" s="128" t="s">
        <v>93</v>
      </c>
      <c r="L185" s="128" t="s">
        <v>30</v>
      </c>
      <c r="M185" s="129" t="s">
        <v>201</v>
      </c>
      <c r="N185" s="129" t="s">
        <v>32</v>
      </c>
      <c r="O185" s="129" t="s">
        <v>28</v>
      </c>
      <c r="P185" s="129" t="str">
        <f t="shared" si="5"/>
        <v>N/A</v>
      </c>
      <c r="Q185" s="130"/>
      <c r="R185" s="128">
        <v>69.650000000000006</v>
      </c>
      <c r="S185" s="130"/>
      <c r="T185" s="130"/>
      <c r="U185" s="131" t="s">
        <v>1232</v>
      </c>
    </row>
    <row r="186" spans="1:21" ht="15.75" hidden="1" thickBot="1">
      <c r="A186" s="45">
        <v>1068</v>
      </c>
      <c r="B186" s="123"/>
      <c r="C186" s="123"/>
      <c r="D186" s="123"/>
      <c r="E186" s="123"/>
      <c r="F186" s="123"/>
      <c r="G186" s="127" t="s">
        <v>69</v>
      </c>
      <c r="H186" s="128">
        <v>2004</v>
      </c>
      <c r="I186" s="128" t="s">
        <v>91</v>
      </c>
      <c r="J186" s="128">
        <f t="shared" si="4"/>
        <v>2</v>
      </c>
      <c r="K186" s="128" t="s">
        <v>1233</v>
      </c>
      <c r="L186" s="128" t="s">
        <v>40</v>
      </c>
      <c r="M186" s="129" t="s">
        <v>1003</v>
      </c>
      <c r="N186" s="129" t="s">
        <v>28</v>
      </c>
      <c r="O186" s="129" t="s">
        <v>28</v>
      </c>
      <c r="P186" s="129" t="str">
        <f t="shared" si="5"/>
        <v>N/A</v>
      </c>
      <c r="Q186" s="128" t="s">
        <v>1234</v>
      </c>
      <c r="R186" s="128">
        <v>29.47</v>
      </c>
      <c r="S186" s="130"/>
      <c r="T186" s="130" t="s">
        <v>31</v>
      </c>
      <c r="U186" s="131"/>
    </row>
    <row r="187" spans="1:21" ht="15.75" hidden="1" thickBot="1">
      <c r="A187" s="45">
        <v>1069</v>
      </c>
      <c r="B187" s="123"/>
      <c r="C187" s="123"/>
      <c r="D187" s="123"/>
      <c r="E187" s="123"/>
      <c r="F187" s="123"/>
      <c r="G187" s="127" t="s">
        <v>69</v>
      </c>
      <c r="H187" s="128">
        <v>2004</v>
      </c>
      <c r="I187" s="128" t="s">
        <v>94</v>
      </c>
      <c r="J187" s="128">
        <f t="shared" si="4"/>
        <v>3</v>
      </c>
      <c r="K187" s="128" t="s">
        <v>1235</v>
      </c>
      <c r="L187" s="128" t="s">
        <v>30</v>
      </c>
      <c r="M187" s="129" t="s">
        <v>31</v>
      </c>
      <c r="N187" s="129" t="s">
        <v>28</v>
      </c>
      <c r="O187" s="129" t="s">
        <v>28</v>
      </c>
      <c r="P187" s="129" t="str">
        <f t="shared" si="5"/>
        <v>N/A</v>
      </c>
      <c r="Q187" s="128" t="s">
        <v>1004</v>
      </c>
      <c r="R187" s="128">
        <v>2.15</v>
      </c>
      <c r="S187" s="130"/>
      <c r="T187" s="130" t="s">
        <v>31</v>
      </c>
      <c r="U187" s="131"/>
    </row>
    <row r="188" spans="1:21" ht="15.75" hidden="1" thickBot="1">
      <c r="A188" s="45">
        <v>1069</v>
      </c>
      <c r="B188" s="123"/>
      <c r="C188" s="123"/>
      <c r="D188" s="123"/>
      <c r="E188" s="123"/>
      <c r="F188" s="123"/>
      <c r="G188" s="127" t="s">
        <v>69</v>
      </c>
      <c r="H188" s="128">
        <v>2004</v>
      </c>
      <c r="I188" s="128" t="s">
        <v>94</v>
      </c>
      <c r="J188" s="128">
        <f t="shared" si="4"/>
        <v>3</v>
      </c>
      <c r="K188" s="128" t="s">
        <v>1236</v>
      </c>
      <c r="L188" s="128" t="s">
        <v>40</v>
      </c>
      <c r="M188" s="129" t="s">
        <v>1003</v>
      </c>
      <c r="N188" s="129" t="s">
        <v>28</v>
      </c>
      <c r="O188" s="129" t="s">
        <v>28</v>
      </c>
      <c r="P188" s="129" t="str">
        <f t="shared" si="5"/>
        <v>N/A</v>
      </c>
      <c r="Q188" s="128" t="s">
        <v>1237</v>
      </c>
      <c r="R188" s="128">
        <v>34.35</v>
      </c>
      <c r="S188" s="130"/>
      <c r="T188" s="130" t="s">
        <v>31</v>
      </c>
      <c r="U188" s="131"/>
    </row>
    <row r="189" spans="1:21" ht="15.75" hidden="1" thickBot="1">
      <c r="A189" s="45">
        <v>1069</v>
      </c>
      <c r="B189" s="123"/>
      <c r="C189" s="123"/>
      <c r="D189" s="123"/>
      <c r="E189" s="123"/>
      <c r="F189" s="123"/>
      <c r="G189" s="127" t="s">
        <v>69</v>
      </c>
      <c r="H189" s="128">
        <v>2004</v>
      </c>
      <c r="I189" s="128" t="s">
        <v>94</v>
      </c>
      <c r="J189" s="128">
        <f t="shared" si="4"/>
        <v>3</v>
      </c>
      <c r="K189" s="128" t="s">
        <v>96</v>
      </c>
      <c r="L189" s="128" t="s">
        <v>30</v>
      </c>
      <c r="M189" s="129" t="s">
        <v>201</v>
      </c>
      <c r="N189" s="129" t="s">
        <v>32</v>
      </c>
      <c r="O189" s="129" t="s">
        <v>28</v>
      </c>
      <c r="P189" s="129" t="str">
        <f t="shared" si="5"/>
        <v>N/A</v>
      </c>
      <c r="Q189" s="130"/>
      <c r="R189" s="128">
        <v>57.45</v>
      </c>
      <c r="S189" s="130"/>
      <c r="T189" s="130"/>
      <c r="U189" s="131" t="s">
        <v>1232</v>
      </c>
    </row>
    <row r="190" spans="1:21" ht="15.75" hidden="1" thickBot="1">
      <c r="A190" s="123">
        <v>1070</v>
      </c>
      <c r="B190" s="123"/>
      <c r="C190" s="123"/>
      <c r="D190" s="123"/>
      <c r="E190" s="123"/>
      <c r="F190" s="123"/>
      <c r="G190" s="127" t="s">
        <v>69</v>
      </c>
      <c r="H190" s="128">
        <v>2004</v>
      </c>
      <c r="I190" s="128" t="s">
        <v>97</v>
      </c>
      <c r="J190" s="128">
        <f t="shared" si="4"/>
        <v>3</v>
      </c>
      <c r="K190" s="128" t="s">
        <v>1238</v>
      </c>
      <c r="L190" s="128" t="s">
        <v>40</v>
      </c>
      <c r="M190" s="129" t="s">
        <v>31</v>
      </c>
      <c r="N190" s="129" t="s">
        <v>28</v>
      </c>
      <c r="O190" s="129" t="s">
        <v>28</v>
      </c>
      <c r="P190" s="129" t="str">
        <f t="shared" si="5"/>
        <v>N/A</v>
      </c>
      <c r="Q190" s="128" t="s">
        <v>1239</v>
      </c>
      <c r="R190" s="128">
        <v>26.2</v>
      </c>
      <c r="S190" s="130"/>
      <c r="T190" s="130" t="s">
        <v>31</v>
      </c>
      <c r="U190" s="131"/>
    </row>
    <row r="191" spans="1:21" ht="15.75" hidden="1" thickBot="1">
      <c r="A191" s="123">
        <v>1070</v>
      </c>
      <c r="B191" s="123"/>
      <c r="C191" s="123"/>
      <c r="D191" s="123"/>
      <c r="E191" s="123"/>
      <c r="F191" s="123"/>
      <c r="G191" s="127" t="s">
        <v>69</v>
      </c>
      <c r="H191" s="128">
        <v>2004</v>
      </c>
      <c r="I191" s="128" t="s">
        <v>97</v>
      </c>
      <c r="J191" s="128">
        <f t="shared" si="4"/>
        <v>3</v>
      </c>
      <c r="K191" s="128" t="s">
        <v>1240</v>
      </c>
      <c r="L191" s="128" t="s">
        <v>30</v>
      </c>
      <c r="M191" s="129" t="s">
        <v>31</v>
      </c>
      <c r="N191" s="129" t="s">
        <v>28</v>
      </c>
      <c r="O191" s="129" t="s">
        <v>28</v>
      </c>
      <c r="P191" s="129" t="str">
        <f t="shared" si="5"/>
        <v>N/A</v>
      </c>
      <c r="Q191" s="128" t="s">
        <v>1241</v>
      </c>
      <c r="R191" s="128">
        <v>15.86</v>
      </c>
      <c r="S191" s="130"/>
      <c r="T191" s="130" t="s">
        <v>31</v>
      </c>
      <c r="U191" s="131"/>
    </row>
    <row r="192" spans="1:21" ht="15.75" thickBot="1">
      <c r="A192" s="123">
        <v>1070</v>
      </c>
      <c r="B192" s="123"/>
      <c r="C192" s="123"/>
      <c r="D192" s="123"/>
      <c r="E192" s="123"/>
      <c r="F192" s="123"/>
      <c r="G192" s="127" t="s">
        <v>69</v>
      </c>
      <c r="H192" s="128">
        <v>2004</v>
      </c>
      <c r="I192" s="128" t="s">
        <v>97</v>
      </c>
      <c r="J192" s="128">
        <f t="shared" si="4"/>
        <v>3</v>
      </c>
      <c r="K192" s="128" t="s">
        <v>99</v>
      </c>
      <c r="L192" s="128" t="s">
        <v>30</v>
      </c>
      <c r="M192" s="129" t="s">
        <v>31</v>
      </c>
      <c r="N192" s="129" t="s">
        <v>32</v>
      </c>
      <c r="O192" s="129"/>
      <c r="P192" s="129" t="str">
        <f t="shared" si="5"/>
        <v/>
      </c>
      <c r="Q192" s="130"/>
      <c r="R192" s="128">
        <v>57.82</v>
      </c>
      <c r="S192" s="130"/>
      <c r="T192" s="130" t="s">
        <v>31</v>
      </c>
      <c r="U192" s="131"/>
    </row>
    <row r="193" spans="1:21" ht="15.75" hidden="1" thickBot="1">
      <c r="A193" s="123">
        <v>1071</v>
      </c>
      <c r="B193" s="123"/>
      <c r="C193" s="123"/>
      <c r="D193" s="123"/>
      <c r="E193" s="123"/>
      <c r="F193" s="123"/>
      <c r="G193" s="127" t="s">
        <v>69</v>
      </c>
      <c r="H193" s="128">
        <v>2004</v>
      </c>
      <c r="I193" s="128" t="s">
        <v>100</v>
      </c>
      <c r="J193" s="128">
        <f t="shared" si="4"/>
        <v>2</v>
      </c>
      <c r="K193" s="128" t="s">
        <v>106</v>
      </c>
      <c r="L193" s="128" t="s">
        <v>40</v>
      </c>
      <c r="M193" s="129" t="s">
        <v>1003</v>
      </c>
      <c r="N193" s="129" t="s">
        <v>32</v>
      </c>
      <c r="O193" s="129" t="s">
        <v>32</v>
      </c>
      <c r="P193" s="129" t="str">
        <f t="shared" si="5"/>
        <v>Y</v>
      </c>
      <c r="Q193" s="128" t="s">
        <v>1242</v>
      </c>
      <c r="R193" s="128">
        <v>79.7</v>
      </c>
      <c r="S193" s="130"/>
      <c r="T193" s="130" t="s">
        <v>31</v>
      </c>
      <c r="U193" s="131"/>
    </row>
    <row r="194" spans="1:21" ht="15.75" hidden="1" thickBot="1">
      <c r="A194" s="123">
        <v>1071</v>
      </c>
      <c r="B194" s="123"/>
      <c r="C194" s="123"/>
      <c r="D194" s="123"/>
      <c r="E194" s="123"/>
      <c r="F194" s="123"/>
      <c r="G194" s="127" t="s">
        <v>69</v>
      </c>
      <c r="H194" s="128">
        <v>2004</v>
      </c>
      <c r="I194" s="128" t="s">
        <v>100</v>
      </c>
      <c r="J194" s="128">
        <f t="shared" ref="J194:J257" si="6">COUNTIF(A$2:A$2215, A194)</f>
        <v>2</v>
      </c>
      <c r="K194" s="128" t="s">
        <v>1212</v>
      </c>
      <c r="L194" s="128" t="s">
        <v>40</v>
      </c>
      <c r="M194" s="129" t="s">
        <v>31</v>
      </c>
      <c r="N194" s="129" t="s">
        <v>28</v>
      </c>
      <c r="O194" s="129" t="s">
        <v>28</v>
      </c>
      <c r="P194" s="129" t="str">
        <f t="shared" si="5"/>
        <v>N/A</v>
      </c>
      <c r="Q194" s="128" t="s">
        <v>1243</v>
      </c>
      <c r="R194" s="128">
        <v>18.37</v>
      </c>
      <c r="S194" s="130"/>
      <c r="T194" s="130" t="s">
        <v>31</v>
      </c>
      <c r="U194" s="131"/>
    </row>
    <row r="195" spans="1:21" ht="15.75" hidden="1" thickBot="1">
      <c r="A195" s="45">
        <v>1062</v>
      </c>
      <c r="B195" s="123"/>
      <c r="C195" s="123"/>
      <c r="D195" s="123"/>
      <c r="E195" s="123"/>
      <c r="F195" s="123"/>
      <c r="G195" s="127" t="s">
        <v>69</v>
      </c>
      <c r="H195" s="128">
        <v>2006</v>
      </c>
      <c r="I195" s="128" t="s">
        <v>38</v>
      </c>
      <c r="J195" s="128">
        <f t="shared" si="6"/>
        <v>4</v>
      </c>
      <c r="K195" s="128" t="s">
        <v>1244</v>
      </c>
      <c r="L195" s="128" t="s">
        <v>30</v>
      </c>
      <c r="M195" s="129" t="s">
        <v>31</v>
      </c>
      <c r="N195" s="129" t="s">
        <v>28</v>
      </c>
      <c r="O195" s="129" t="s">
        <v>28</v>
      </c>
      <c r="P195" s="129" t="str">
        <f t="shared" ref="P195:P258" si="7">IF(O195="N", "N/A", IF(AND(N195="N",  O195="Y"), "N", IF(AND(O195="Y", N195="Y"), "Y", "")))</f>
        <v>N/A</v>
      </c>
      <c r="Q195" s="128" t="s">
        <v>1245</v>
      </c>
      <c r="R195" s="128">
        <v>1.26</v>
      </c>
      <c r="S195" s="130"/>
      <c r="T195" s="130" t="s">
        <v>31</v>
      </c>
      <c r="U195" s="131"/>
    </row>
    <row r="196" spans="1:21" ht="15.75" hidden="1" thickBot="1">
      <c r="A196" s="45">
        <v>1062</v>
      </c>
      <c r="B196" s="123"/>
      <c r="C196" s="123"/>
      <c r="D196" s="123"/>
      <c r="E196" s="123"/>
      <c r="F196" s="123"/>
      <c r="G196" s="127" t="s">
        <v>69</v>
      </c>
      <c r="H196" s="128">
        <v>2006</v>
      </c>
      <c r="I196" s="128" t="s">
        <v>38</v>
      </c>
      <c r="J196" s="128">
        <f t="shared" si="6"/>
        <v>4</v>
      </c>
      <c r="K196" s="128" t="s">
        <v>90</v>
      </c>
      <c r="L196" s="128" t="s">
        <v>30</v>
      </c>
      <c r="M196" s="129" t="s">
        <v>31</v>
      </c>
      <c r="N196" s="129" t="s">
        <v>32</v>
      </c>
      <c r="O196" s="129" t="s">
        <v>32</v>
      </c>
      <c r="P196" s="129" t="str">
        <f t="shared" si="7"/>
        <v>Y</v>
      </c>
      <c r="Q196" s="130"/>
      <c r="R196" s="128">
        <v>62.77</v>
      </c>
      <c r="S196" s="130"/>
      <c r="T196" s="130" t="s">
        <v>31</v>
      </c>
      <c r="U196" s="131"/>
    </row>
    <row r="197" spans="1:21" ht="15.75" hidden="1" thickBot="1">
      <c r="A197" s="45">
        <v>1062</v>
      </c>
      <c r="B197" s="123"/>
      <c r="C197" s="123"/>
      <c r="D197" s="123"/>
      <c r="E197" s="123"/>
      <c r="F197" s="123"/>
      <c r="G197" s="127" t="s">
        <v>69</v>
      </c>
      <c r="H197" s="128">
        <v>2006</v>
      </c>
      <c r="I197" s="128" t="s">
        <v>38</v>
      </c>
      <c r="J197" s="128">
        <f t="shared" si="6"/>
        <v>4</v>
      </c>
      <c r="K197" s="128" t="s">
        <v>1246</v>
      </c>
      <c r="L197" s="128" t="s">
        <v>30</v>
      </c>
      <c r="M197" s="129" t="s">
        <v>1247</v>
      </c>
      <c r="N197" s="129" t="s">
        <v>28</v>
      </c>
      <c r="O197" s="129" t="s">
        <v>28</v>
      </c>
      <c r="P197" s="129" t="str">
        <f t="shared" si="7"/>
        <v>N/A</v>
      </c>
      <c r="Q197" s="130"/>
      <c r="R197" s="128">
        <v>4.5999999999999996</v>
      </c>
      <c r="S197" s="130"/>
      <c r="T197" s="130"/>
      <c r="U197" s="131"/>
    </row>
    <row r="198" spans="1:21" ht="15.75" hidden="1" thickBot="1">
      <c r="A198" s="45">
        <v>1062</v>
      </c>
      <c r="B198" s="123"/>
      <c r="C198" s="123"/>
      <c r="D198" s="123"/>
      <c r="E198" s="123"/>
      <c r="F198" s="123"/>
      <c r="G198" s="127" t="s">
        <v>69</v>
      </c>
      <c r="H198" s="128">
        <v>2006</v>
      </c>
      <c r="I198" s="128" t="s">
        <v>38</v>
      </c>
      <c r="J198" s="128">
        <f t="shared" si="6"/>
        <v>4</v>
      </c>
      <c r="K198" s="128" t="s">
        <v>1248</v>
      </c>
      <c r="L198" s="128" t="s">
        <v>40</v>
      </c>
      <c r="M198" s="129" t="s">
        <v>31</v>
      </c>
      <c r="N198" s="129" t="s">
        <v>28</v>
      </c>
      <c r="O198" s="129" t="s">
        <v>28</v>
      </c>
      <c r="P198" s="129" t="str">
        <f t="shared" si="7"/>
        <v>N/A</v>
      </c>
      <c r="Q198" s="128" t="s">
        <v>1249</v>
      </c>
      <c r="R198" s="128">
        <v>30.92</v>
      </c>
      <c r="S198" s="130"/>
      <c r="T198" s="130" t="s">
        <v>31</v>
      </c>
      <c r="U198" s="131"/>
    </row>
    <row r="199" spans="1:21" ht="15.75" hidden="1" thickBot="1">
      <c r="A199" s="123">
        <v>1063</v>
      </c>
      <c r="B199" s="123"/>
      <c r="C199" s="123"/>
      <c r="D199" s="123"/>
      <c r="E199" s="123"/>
      <c r="F199" s="123"/>
      <c r="G199" s="127" t="s">
        <v>69</v>
      </c>
      <c r="H199" s="128">
        <v>2006</v>
      </c>
      <c r="I199" s="128" t="s">
        <v>70</v>
      </c>
      <c r="J199" s="128">
        <f t="shared" si="6"/>
        <v>1</v>
      </c>
      <c r="K199" s="128" t="s">
        <v>75</v>
      </c>
      <c r="L199" s="128" t="s">
        <v>40</v>
      </c>
      <c r="M199" s="129" t="s">
        <v>31</v>
      </c>
      <c r="N199" s="129" t="s">
        <v>32</v>
      </c>
      <c r="O199" s="129" t="s">
        <v>32</v>
      </c>
      <c r="P199" s="129" t="str">
        <f t="shared" si="7"/>
        <v>Y</v>
      </c>
      <c r="Q199" s="130"/>
      <c r="R199" s="128">
        <v>98.6</v>
      </c>
      <c r="S199" s="130"/>
      <c r="T199" s="130" t="s">
        <v>31</v>
      </c>
      <c r="U199" s="131"/>
    </row>
    <row r="200" spans="1:21" ht="15.75" hidden="1" thickBot="1">
      <c r="A200" s="123">
        <v>1064</v>
      </c>
      <c r="B200" s="123"/>
      <c r="C200" s="123"/>
      <c r="D200" s="123"/>
      <c r="E200" s="123"/>
      <c r="F200" s="123"/>
      <c r="G200" s="127" t="s">
        <v>69</v>
      </c>
      <c r="H200" s="128">
        <v>2006</v>
      </c>
      <c r="I200" s="128" t="s">
        <v>76</v>
      </c>
      <c r="J200" s="128">
        <f t="shared" si="6"/>
        <v>2</v>
      </c>
      <c r="K200" s="128" t="s">
        <v>78</v>
      </c>
      <c r="L200" s="128" t="s">
        <v>40</v>
      </c>
      <c r="M200" s="129" t="s">
        <v>31</v>
      </c>
      <c r="N200" s="129" t="s">
        <v>32</v>
      </c>
      <c r="O200" s="129" t="s">
        <v>32</v>
      </c>
      <c r="P200" s="129" t="str">
        <f t="shared" si="7"/>
        <v>Y</v>
      </c>
      <c r="Q200" s="130"/>
      <c r="R200" s="128">
        <v>76.22</v>
      </c>
      <c r="S200" s="130"/>
      <c r="T200" s="130" t="s">
        <v>31</v>
      </c>
      <c r="U200" s="131"/>
    </row>
    <row r="201" spans="1:21" ht="15.75" hidden="1" thickBot="1">
      <c r="A201" s="123">
        <v>1064</v>
      </c>
      <c r="B201" s="123"/>
      <c r="C201" s="123"/>
      <c r="D201" s="123"/>
      <c r="E201" s="123"/>
      <c r="F201" s="123"/>
      <c r="G201" s="127" t="s">
        <v>69</v>
      </c>
      <c r="H201" s="128">
        <v>2006</v>
      </c>
      <c r="I201" s="128" t="s">
        <v>76</v>
      </c>
      <c r="J201" s="128">
        <f t="shared" si="6"/>
        <v>2</v>
      </c>
      <c r="K201" s="128" t="s">
        <v>1250</v>
      </c>
      <c r="L201" s="128" t="s">
        <v>40</v>
      </c>
      <c r="M201" s="129" t="s">
        <v>31</v>
      </c>
      <c r="N201" s="129" t="s">
        <v>28</v>
      </c>
      <c r="O201" s="129" t="s">
        <v>28</v>
      </c>
      <c r="P201" s="129" t="str">
        <f t="shared" si="7"/>
        <v>N/A</v>
      </c>
      <c r="Q201" s="130"/>
      <c r="R201" s="128">
        <v>22.91</v>
      </c>
      <c r="S201" s="130"/>
      <c r="T201" s="130" t="s">
        <v>31</v>
      </c>
      <c r="U201" s="131"/>
    </row>
    <row r="202" spans="1:21" ht="15.75" hidden="1" thickBot="1">
      <c r="A202" s="123">
        <v>1065</v>
      </c>
      <c r="B202" s="123"/>
      <c r="C202" s="123"/>
      <c r="D202" s="123"/>
      <c r="E202" s="123"/>
      <c r="F202" s="123"/>
      <c r="G202" s="127" t="s">
        <v>69</v>
      </c>
      <c r="H202" s="128">
        <v>2006</v>
      </c>
      <c r="I202" s="128" t="s">
        <v>79</v>
      </c>
      <c r="J202" s="128">
        <f t="shared" si="6"/>
        <v>2</v>
      </c>
      <c r="K202" s="128" t="s">
        <v>105</v>
      </c>
      <c r="L202" s="128" t="s">
        <v>40</v>
      </c>
      <c r="M202" s="129" t="s">
        <v>31</v>
      </c>
      <c r="N202" s="129" t="s">
        <v>32</v>
      </c>
      <c r="O202" s="129" t="s">
        <v>32</v>
      </c>
      <c r="P202" s="129" t="str">
        <f t="shared" si="7"/>
        <v>Y</v>
      </c>
      <c r="Q202" s="128" t="s">
        <v>1251</v>
      </c>
      <c r="R202" s="128">
        <v>71.2</v>
      </c>
      <c r="S202" s="130"/>
      <c r="T202" s="130" t="s">
        <v>31</v>
      </c>
      <c r="U202" s="131"/>
    </row>
    <row r="203" spans="1:21" ht="15.75" hidden="1" thickBot="1">
      <c r="A203" s="123">
        <v>1065</v>
      </c>
      <c r="B203" s="123"/>
      <c r="C203" s="123"/>
      <c r="D203" s="123"/>
      <c r="E203" s="123"/>
      <c r="F203" s="123"/>
      <c r="G203" s="127" t="s">
        <v>69</v>
      </c>
      <c r="H203" s="128">
        <v>2006</v>
      </c>
      <c r="I203" s="128" t="s">
        <v>79</v>
      </c>
      <c r="J203" s="128">
        <f t="shared" si="6"/>
        <v>2</v>
      </c>
      <c r="K203" s="128" t="s">
        <v>1252</v>
      </c>
      <c r="L203" s="128" t="s">
        <v>30</v>
      </c>
      <c r="M203" s="129" t="s">
        <v>31</v>
      </c>
      <c r="N203" s="129" t="s">
        <v>28</v>
      </c>
      <c r="O203" s="129" t="s">
        <v>28</v>
      </c>
      <c r="P203" s="129" t="str">
        <f t="shared" si="7"/>
        <v>N/A</v>
      </c>
      <c r="Q203" s="128" t="s">
        <v>1253</v>
      </c>
      <c r="R203" s="128">
        <v>27.96</v>
      </c>
      <c r="S203" s="130"/>
      <c r="T203" s="130" t="s">
        <v>31</v>
      </c>
      <c r="U203" s="131"/>
    </row>
    <row r="204" spans="1:21" ht="15.75" hidden="1" thickBot="1">
      <c r="A204" s="123">
        <v>1066</v>
      </c>
      <c r="B204" s="123"/>
      <c r="C204" s="123"/>
      <c r="D204" s="123"/>
      <c r="E204" s="123"/>
      <c r="F204" s="123"/>
      <c r="G204" s="127" t="s">
        <v>69</v>
      </c>
      <c r="H204" s="128">
        <v>2006</v>
      </c>
      <c r="I204" s="128" t="s">
        <v>82</v>
      </c>
      <c r="J204" s="128">
        <f t="shared" si="6"/>
        <v>2</v>
      </c>
      <c r="K204" s="128" t="s">
        <v>1254</v>
      </c>
      <c r="L204" s="128" t="s">
        <v>30</v>
      </c>
      <c r="M204" s="129" t="s">
        <v>31</v>
      </c>
      <c r="N204" s="129" t="s">
        <v>28</v>
      </c>
      <c r="O204" s="129" t="s">
        <v>28</v>
      </c>
      <c r="P204" s="129" t="str">
        <f t="shared" si="7"/>
        <v>N/A</v>
      </c>
      <c r="Q204" s="130"/>
      <c r="R204" s="128">
        <v>46.65</v>
      </c>
      <c r="S204" s="130"/>
      <c r="T204" s="130" t="s">
        <v>31</v>
      </c>
      <c r="U204" s="131"/>
    </row>
    <row r="205" spans="1:21" ht="15.75" hidden="1" thickBot="1">
      <c r="A205" s="123">
        <v>1066</v>
      </c>
      <c r="B205" s="123"/>
      <c r="C205" s="123"/>
      <c r="D205" s="123"/>
      <c r="E205" s="123"/>
      <c r="F205" s="123"/>
      <c r="G205" s="127" t="s">
        <v>69</v>
      </c>
      <c r="H205" s="128">
        <v>2006</v>
      </c>
      <c r="I205" s="128" t="s">
        <v>82</v>
      </c>
      <c r="J205" s="128">
        <f t="shared" si="6"/>
        <v>2</v>
      </c>
      <c r="K205" s="128" t="s">
        <v>84</v>
      </c>
      <c r="L205" s="128" t="s">
        <v>30</v>
      </c>
      <c r="M205" s="129" t="s">
        <v>31</v>
      </c>
      <c r="N205" s="129" t="s">
        <v>32</v>
      </c>
      <c r="O205" s="129" t="s">
        <v>32</v>
      </c>
      <c r="P205" s="129" t="str">
        <f t="shared" si="7"/>
        <v>Y</v>
      </c>
      <c r="Q205" s="130"/>
      <c r="R205" s="128">
        <v>52.86</v>
      </c>
      <c r="S205" s="130"/>
      <c r="T205" s="130" t="s">
        <v>31</v>
      </c>
      <c r="U205" s="131"/>
    </row>
    <row r="206" spans="1:21" ht="15.75" hidden="1" thickBot="1">
      <c r="A206" s="123">
        <v>1067</v>
      </c>
      <c r="B206" s="123"/>
      <c r="C206" s="123"/>
      <c r="D206" s="123"/>
      <c r="E206" s="123"/>
      <c r="F206" s="123"/>
      <c r="G206" s="127" t="s">
        <v>69</v>
      </c>
      <c r="H206" s="128">
        <v>2006</v>
      </c>
      <c r="I206" s="128" t="s">
        <v>85</v>
      </c>
      <c r="J206" s="128">
        <f t="shared" si="6"/>
        <v>2</v>
      </c>
      <c r="K206" s="128" t="s">
        <v>104</v>
      </c>
      <c r="L206" s="128" t="s">
        <v>30</v>
      </c>
      <c r="M206" s="129" t="s">
        <v>31</v>
      </c>
      <c r="N206" s="129" t="s">
        <v>32</v>
      </c>
      <c r="O206" s="129" t="s">
        <v>32</v>
      </c>
      <c r="P206" s="129" t="str">
        <f t="shared" si="7"/>
        <v>Y</v>
      </c>
      <c r="Q206" s="130"/>
      <c r="R206" s="128">
        <v>63.09</v>
      </c>
      <c r="S206" s="130"/>
      <c r="T206" s="130" t="s">
        <v>31</v>
      </c>
      <c r="U206" s="131"/>
    </row>
    <row r="207" spans="1:21" ht="15.75" hidden="1" thickBot="1">
      <c r="A207" s="123">
        <v>1067</v>
      </c>
      <c r="B207" s="123"/>
      <c r="C207" s="123"/>
      <c r="D207" s="123"/>
      <c r="E207" s="123"/>
      <c r="F207" s="123"/>
      <c r="G207" s="127" t="s">
        <v>69</v>
      </c>
      <c r="H207" s="128">
        <v>2006</v>
      </c>
      <c r="I207" s="128" t="s">
        <v>85</v>
      </c>
      <c r="J207" s="128">
        <f t="shared" si="6"/>
        <v>2</v>
      </c>
      <c r="K207" s="128" t="s">
        <v>1255</v>
      </c>
      <c r="L207" s="128" t="s">
        <v>30</v>
      </c>
      <c r="M207" s="129" t="s">
        <v>31</v>
      </c>
      <c r="N207" s="129" t="s">
        <v>28</v>
      </c>
      <c r="O207" s="129" t="s">
        <v>28</v>
      </c>
      <c r="P207" s="129" t="str">
        <f t="shared" si="7"/>
        <v>N/A</v>
      </c>
      <c r="Q207" s="128" t="s">
        <v>1256</v>
      </c>
      <c r="R207" s="128">
        <v>36.54</v>
      </c>
      <c r="S207" s="130"/>
      <c r="T207" s="130" t="s">
        <v>31</v>
      </c>
      <c r="U207" s="131"/>
    </row>
    <row r="208" spans="1:21" ht="15.75" hidden="1" thickBot="1">
      <c r="A208" s="45">
        <v>1056</v>
      </c>
      <c r="B208" s="123"/>
      <c r="C208" s="123"/>
      <c r="D208" s="123"/>
      <c r="E208" s="123"/>
      <c r="F208" s="123"/>
      <c r="G208" s="127" t="s">
        <v>69</v>
      </c>
      <c r="H208" s="128">
        <v>2008</v>
      </c>
      <c r="I208" s="128" t="s">
        <v>38</v>
      </c>
      <c r="J208" s="128">
        <f t="shared" si="6"/>
        <v>2</v>
      </c>
      <c r="K208" s="128" t="s">
        <v>1215</v>
      </c>
      <c r="L208" s="128" t="s">
        <v>40</v>
      </c>
      <c r="M208" s="129" t="s">
        <v>31</v>
      </c>
      <c r="N208" s="129" t="s">
        <v>28</v>
      </c>
      <c r="O208" s="129" t="s">
        <v>28</v>
      </c>
      <c r="P208" s="129" t="str">
        <f t="shared" si="7"/>
        <v>N/A</v>
      </c>
      <c r="Q208" s="128" t="s">
        <v>1257</v>
      </c>
      <c r="R208" s="128">
        <v>35.94</v>
      </c>
      <c r="S208" s="130"/>
      <c r="T208" s="130" t="s">
        <v>31</v>
      </c>
      <c r="U208" s="131"/>
    </row>
    <row r="209" spans="1:21" ht="15.75" hidden="1" thickBot="1">
      <c r="A209" s="45">
        <v>1056</v>
      </c>
      <c r="B209" s="123"/>
      <c r="C209" s="123"/>
      <c r="D209" s="123"/>
      <c r="E209" s="123"/>
      <c r="F209" s="123"/>
      <c r="G209" s="127" t="s">
        <v>69</v>
      </c>
      <c r="H209" s="128">
        <v>2008</v>
      </c>
      <c r="I209" s="128" t="s">
        <v>38</v>
      </c>
      <c r="J209" s="128">
        <f t="shared" si="6"/>
        <v>2</v>
      </c>
      <c r="K209" s="128" t="s">
        <v>90</v>
      </c>
      <c r="L209" s="128" t="s">
        <v>30</v>
      </c>
      <c r="M209" s="129" t="s">
        <v>31</v>
      </c>
      <c r="N209" s="129" t="s">
        <v>32</v>
      </c>
      <c r="O209" s="129" t="s">
        <v>32</v>
      </c>
      <c r="P209" s="129" t="str">
        <f t="shared" si="7"/>
        <v>Y</v>
      </c>
      <c r="Q209" s="130"/>
      <c r="R209" s="128">
        <v>60.9</v>
      </c>
      <c r="S209" s="130"/>
      <c r="T209" s="130" t="s">
        <v>31</v>
      </c>
      <c r="U209" s="131"/>
    </row>
    <row r="210" spans="1:21" ht="15.75" hidden="1" thickBot="1">
      <c r="A210" s="45">
        <v>1057</v>
      </c>
      <c r="B210" s="123"/>
      <c r="C210" s="123"/>
      <c r="D210" s="123"/>
      <c r="E210" s="123"/>
      <c r="F210" s="123"/>
      <c r="G210" s="127" t="s">
        <v>69</v>
      </c>
      <c r="H210" s="128">
        <v>2008</v>
      </c>
      <c r="I210" s="128" t="s">
        <v>91</v>
      </c>
      <c r="J210" s="128">
        <f t="shared" si="6"/>
        <v>2</v>
      </c>
      <c r="K210" s="128" t="s">
        <v>93</v>
      </c>
      <c r="L210" s="128" t="s">
        <v>30</v>
      </c>
      <c r="M210" s="129" t="s">
        <v>201</v>
      </c>
      <c r="N210" s="129" t="s">
        <v>32</v>
      </c>
      <c r="O210" s="129" t="s">
        <v>32</v>
      </c>
      <c r="P210" s="129" t="str">
        <f t="shared" si="7"/>
        <v>Y</v>
      </c>
      <c r="Q210" s="130"/>
      <c r="R210" s="128">
        <v>81.790000000000006</v>
      </c>
      <c r="S210" s="130"/>
      <c r="T210" s="130"/>
      <c r="U210" s="131"/>
    </row>
    <row r="211" spans="1:21" ht="15.75" hidden="1" thickBot="1">
      <c r="A211" s="45">
        <v>1057</v>
      </c>
      <c r="B211" s="123"/>
      <c r="C211" s="123"/>
      <c r="D211" s="123"/>
      <c r="E211" s="123"/>
      <c r="F211" s="123"/>
      <c r="G211" s="127" t="s">
        <v>69</v>
      </c>
      <c r="H211" s="128">
        <v>2008</v>
      </c>
      <c r="I211" s="128" t="s">
        <v>91</v>
      </c>
      <c r="J211" s="128">
        <f t="shared" si="6"/>
        <v>2</v>
      </c>
      <c r="K211" s="128" t="s">
        <v>1190</v>
      </c>
      <c r="L211" s="128" t="s">
        <v>30</v>
      </c>
      <c r="M211" s="129" t="s">
        <v>201</v>
      </c>
      <c r="N211" s="129" t="s">
        <v>28</v>
      </c>
      <c r="O211" s="129" t="s">
        <v>28</v>
      </c>
      <c r="P211" s="129" t="str">
        <f t="shared" si="7"/>
        <v>N/A</v>
      </c>
      <c r="Q211" s="128" t="s">
        <v>1191</v>
      </c>
      <c r="R211" s="128">
        <v>17.079999999999998</v>
      </c>
      <c r="S211" s="130"/>
      <c r="T211" s="130" t="s">
        <v>31</v>
      </c>
      <c r="U211" s="131"/>
    </row>
    <row r="212" spans="1:21" ht="15.75" hidden="1" thickBot="1">
      <c r="A212" s="45">
        <v>1058</v>
      </c>
      <c r="B212" s="123"/>
      <c r="C212" s="123"/>
      <c r="D212" s="123"/>
      <c r="E212" s="123"/>
      <c r="F212" s="123"/>
      <c r="G212" s="127" t="s">
        <v>69</v>
      </c>
      <c r="H212" s="128">
        <v>2008</v>
      </c>
      <c r="I212" s="128" t="s">
        <v>94</v>
      </c>
      <c r="J212" s="128">
        <f t="shared" si="6"/>
        <v>1</v>
      </c>
      <c r="K212" s="128" t="s">
        <v>96</v>
      </c>
      <c r="L212" s="128" t="s">
        <v>30</v>
      </c>
      <c r="M212" s="129" t="s">
        <v>201</v>
      </c>
      <c r="N212" s="129" t="s">
        <v>32</v>
      </c>
      <c r="O212" s="129" t="s">
        <v>32</v>
      </c>
      <c r="P212" s="129" t="str">
        <f t="shared" si="7"/>
        <v>Y</v>
      </c>
      <c r="Q212" s="130"/>
      <c r="R212" s="128">
        <v>96.04</v>
      </c>
      <c r="S212" s="130"/>
      <c r="T212" s="130"/>
      <c r="U212" s="131"/>
    </row>
    <row r="213" spans="1:21" ht="15.75" hidden="1" thickBot="1">
      <c r="A213" s="45">
        <v>1059</v>
      </c>
      <c r="B213" s="123"/>
      <c r="C213" s="123"/>
      <c r="D213" s="123"/>
      <c r="E213" s="123"/>
      <c r="F213" s="123"/>
      <c r="G213" s="127" t="s">
        <v>69</v>
      </c>
      <c r="H213" s="128">
        <v>2008</v>
      </c>
      <c r="I213" s="128" t="s">
        <v>79</v>
      </c>
      <c r="J213" s="128">
        <f t="shared" si="6"/>
        <v>5</v>
      </c>
      <c r="K213" s="128" t="s">
        <v>1258</v>
      </c>
      <c r="L213" s="128" t="s">
        <v>30</v>
      </c>
      <c r="M213" s="129" t="s">
        <v>31</v>
      </c>
      <c r="N213" s="129" t="s">
        <v>28</v>
      </c>
      <c r="O213" s="129" t="s">
        <v>28</v>
      </c>
      <c r="P213" s="129" t="str">
        <f t="shared" si="7"/>
        <v>N/A</v>
      </c>
      <c r="Q213" s="128" t="s">
        <v>1259</v>
      </c>
      <c r="R213" s="128">
        <v>6.38</v>
      </c>
      <c r="S213" s="130"/>
      <c r="T213" s="130" t="s">
        <v>31</v>
      </c>
      <c r="U213" s="131"/>
    </row>
    <row r="214" spans="1:21" ht="15.75" hidden="1" thickBot="1">
      <c r="A214" s="45">
        <v>1059</v>
      </c>
      <c r="B214" s="123"/>
      <c r="C214" s="123"/>
      <c r="D214" s="123"/>
      <c r="E214" s="123"/>
      <c r="F214" s="123"/>
      <c r="G214" s="127" t="s">
        <v>69</v>
      </c>
      <c r="H214" s="128">
        <v>2008</v>
      </c>
      <c r="I214" s="128" t="s">
        <v>79</v>
      </c>
      <c r="J214" s="128">
        <f t="shared" si="6"/>
        <v>5</v>
      </c>
      <c r="K214" s="128" t="s">
        <v>81</v>
      </c>
      <c r="L214" s="128" t="s">
        <v>30</v>
      </c>
      <c r="M214" s="129" t="s">
        <v>1065</v>
      </c>
      <c r="N214" s="129" t="s">
        <v>32</v>
      </c>
      <c r="O214" s="129" t="s">
        <v>28</v>
      </c>
      <c r="P214" s="129" t="str">
        <f t="shared" si="7"/>
        <v>N/A</v>
      </c>
      <c r="Q214" s="130"/>
      <c r="R214" s="128">
        <v>48.29</v>
      </c>
      <c r="S214" s="130"/>
      <c r="T214" s="130"/>
      <c r="U214" s="131" t="s">
        <v>1260</v>
      </c>
    </row>
    <row r="215" spans="1:21" ht="15.75" hidden="1" thickBot="1">
      <c r="A215" s="45">
        <v>1059</v>
      </c>
      <c r="B215" s="123"/>
      <c r="C215" s="123"/>
      <c r="D215" s="123"/>
      <c r="E215" s="123"/>
      <c r="F215" s="123"/>
      <c r="G215" s="127" t="s">
        <v>69</v>
      </c>
      <c r="H215" s="128">
        <v>2008</v>
      </c>
      <c r="I215" s="128" t="s">
        <v>79</v>
      </c>
      <c r="J215" s="128">
        <f t="shared" si="6"/>
        <v>5</v>
      </c>
      <c r="K215" s="128" t="s">
        <v>1223</v>
      </c>
      <c r="L215" s="128" t="s">
        <v>30</v>
      </c>
      <c r="M215" s="129" t="s">
        <v>1003</v>
      </c>
      <c r="N215" s="129" t="s">
        <v>28</v>
      </c>
      <c r="O215" s="129" t="s">
        <v>28</v>
      </c>
      <c r="P215" s="129" t="str">
        <f t="shared" si="7"/>
        <v>N/A</v>
      </c>
      <c r="Q215" s="128" t="s">
        <v>1261</v>
      </c>
      <c r="R215" s="128">
        <v>5.94</v>
      </c>
      <c r="S215" s="130"/>
      <c r="T215" s="130" t="s">
        <v>31</v>
      </c>
      <c r="U215" s="131"/>
    </row>
    <row r="216" spans="1:21" ht="15.75" hidden="1" thickBot="1">
      <c r="A216" s="45">
        <v>1059</v>
      </c>
      <c r="B216" s="123"/>
      <c r="C216" s="123"/>
      <c r="D216" s="123"/>
      <c r="E216" s="123"/>
      <c r="F216" s="123"/>
      <c r="G216" s="127" t="s">
        <v>69</v>
      </c>
      <c r="H216" s="128">
        <v>2008</v>
      </c>
      <c r="I216" s="128" t="s">
        <v>79</v>
      </c>
      <c r="J216" s="128">
        <f t="shared" si="6"/>
        <v>5</v>
      </c>
      <c r="K216" s="128" t="s">
        <v>1262</v>
      </c>
      <c r="L216" s="128" t="s">
        <v>30</v>
      </c>
      <c r="M216" s="129" t="s">
        <v>1003</v>
      </c>
      <c r="N216" s="129" t="s">
        <v>28</v>
      </c>
      <c r="O216" s="129" t="s">
        <v>28</v>
      </c>
      <c r="P216" s="129" t="str">
        <f t="shared" si="7"/>
        <v>N/A</v>
      </c>
      <c r="Q216" s="128" t="s">
        <v>1004</v>
      </c>
      <c r="R216" s="128">
        <v>1.94</v>
      </c>
      <c r="S216" s="130"/>
      <c r="T216" s="130"/>
      <c r="U216" s="131"/>
    </row>
    <row r="217" spans="1:21" ht="15.75" thickBot="1">
      <c r="A217" s="45">
        <v>1059</v>
      </c>
      <c r="B217" s="123"/>
      <c r="C217" s="123"/>
      <c r="D217" s="123"/>
      <c r="E217" s="123"/>
      <c r="F217" s="123"/>
      <c r="G217" s="127" t="s">
        <v>69</v>
      </c>
      <c r="H217" s="128">
        <v>2008</v>
      </c>
      <c r="I217" s="128" t="s">
        <v>79</v>
      </c>
      <c r="J217" s="128">
        <f t="shared" si="6"/>
        <v>5</v>
      </c>
      <c r="K217" s="128" t="s">
        <v>1263</v>
      </c>
      <c r="L217" s="128" t="s">
        <v>30</v>
      </c>
      <c r="M217" s="129" t="s">
        <v>31</v>
      </c>
      <c r="N217" s="129" t="s">
        <v>28</v>
      </c>
      <c r="O217" s="129" t="s">
        <v>32</v>
      </c>
      <c r="P217" s="129" t="str">
        <f t="shared" si="7"/>
        <v>N</v>
      </c>
      <c r="Q217" s="128" t="s">
        <v>1264</v>
      </c>
      <c r="R217" s="128">
        <v>36.85</v>
      </c>
      <c r="S217" s="130"/>
      <c r="T217" s="130" t="s">
        <v>31</v>
      </c>
      <c r="U217" s="131" t="s">
        <v>1265</v>
      </c>
    </row>
    <row r="218" spans="1:21" ht="15.75" hidden="1" thickBot="1">
      <c r="A218" s="123">
        <v>1060</v>
      </c>
      <c r="B218" s="123"/>
      <c r="C218" s="123"/>
      <c r="D218" s="123"/>
      <c r="E218" s="123"/>
      <c r="F218" s="123"/>
      <c r="G218" s="127" t="s">
        <v>69</v>
      </c>
      <c r="H218" s="128">
        <v>2008</v>
      </c>
      <c r="I218" s="128" t="s">
        <v>97</v>
      </c>
      <c r="J218" s="128">
        <f t="shared" si="6"/>
        <v>2</v>
      </c>
      <c r="K218" s="128" t="s">
        <v>99</v>
      </c>
      <c r="L218" s="128" t="s">
        <v>30</v>
      </c>
      <c r="M218" s="129" t="s">
        <v>31</v>
      </c>
      <c r="N218" s="129" t="s">
        <v>32</v>
      </c>
      <c r="O218" s="129" t="s">
        <v>32</v>
      </c>
      <c r="P218" s="129" t="str">
        <f t="shared" si="7"/>
        <v>Y</v>
      </c>
      <c r="Q218" s="130"/>
      <c r="R218" s="128">
        <v>52.35</v>
      </c>
      <c r="S218" s="130"/>
      <c r="T218" s="130" t="s">
        <v>31</v>
      </c>
      <c r="U218" s="131"/>
    </row>
    <row r="219" spans="1:21" ht="15.75" hidden="1" thickBot="1">
      <c r="A219" s="123">
        <v>1060</v>
      </c>
      <c r="B219" s="123"/>
      <c r="C219" s="123"/>
      <c r="D219" s="123"/>
      <c r="E219" s="123"/>
      <c r="F219" s="123"/>
      <c r="G219" s="127" t="s">
        <v>69</v>
      </c>
      <c r="H219" s="128">
        <v>2008</v>
      </c>
      <c r="I219" s="128" t="s">
        <v>97</v>
      </c>
      <c r="J219" s="128">
        <f t="shared" si="6"/>
        <v>2</v>
      </c>
      <c r="K219" s="128" t="s">
        <v>1266</v>
      </c>
      <c r="L219" s="128" t="s">
        <v>40</v>
      </c>
      <c r="M219" s="129" t="s">
        <v>31</v>
      </c>
      <c r="N219" s="129" t="s">
        <v>28</v>
      </c>
      <c r="O219" s="129" t="s">
        <v>28</v>
      </c>
      <c r="P219" s="129" t="str">
        <f t="shared" si="7"/>
        <v>N/A</v>
      </c>
      <c r="Q219" s="130"/>
      <c r="R219" s="128">
        <v>47.47</v>
      </c>
      <c r="S219" s="130"/>
      <c r="T219" s="130" t="s">
        <v>31</v>
      </c>
      <c r="U219" s="131"/>
    </row>
    <row r="220" spans="1:21" ht="15.75" hidden="1" thickBot="1">
      <c r="A220" s="123">
        <v>1061</v>
      </c>
      <c r="B220" s="123"/>
      <c r="C220" s="123"/>
      <c r="D220" s="123"/>
      <c r="E220" s="123"/>
      <c r="F220" s="123"/>
      <c r="G220" s="127" t="s">
        <v>69</v>
      </c>
      <c r="H220" s="128">
        <v>2008</v>
      </c>
      <c r="I220" s="128" t="s">
        <v>100</v>
      </c>
      <c r="J220" s="128">
        <f t="shared" si="6"/>
        <v>2</v>
      </c>
      <c r="K220" s="128" t="s">
        <v>1267</v>
      </c>
      <c r="L220" s="128" t="s">
        <v>40</v>
      </c>
      <c r="M220" s="129" t="s">
        <v>31</v>
      </c>
      <c r="N220" s="129" t="s">
        <v>28</v>
      </c>
      <c r="O220" s="129" t="s">
        <v>28</v>
      </c>
      <c r="P220" s="129" t="str">
        <f t="shared" si="7"/>
        <v>N/A</v>
      </c>
      <c r="Q220" s="130"/>
      <c r="R220" s="128">
        <v>23.2</v>
      </c>
      <c r="S220" s="130"/>
      <c r="T220" s="130" t="s">
        <v>31</v>
      </c>
      <c r="U220" s="131"/>
    </row>
    <row r="221" spans="1:21" ht="15.75" hidden="1" thickBot="1">
      <c r="A221" s="123">
        <v>1061</v>
      </c>
      <c r="B221" s="123"/>
      <c r="C221" s="123"/>
      <c r="D221" s="123"/>
      <c r="E221" s="123"/>
      <c r="F221" s="123"/>
      <c r="G221" s="127" t="s">
        <v>69</v>
      </c>
      <c r="H221" s="128">
        <v>2008</v>
      </c>
      <c r="I221" s="128" t="s">
        <v>100</v>
      </c>
      <c r="J221" s="128">
        <f t="shared" si="6"/>
        <v>2</v>
      </c>
      <c r="K221" s="128" t="s">
        <v>102</v>
      </c>
      <c r="L221" s="128" t="s">
        <v>40</v>
      </c>
      <c r="M221" s="129" t="s">
        <v>31</v>
      </c>
      <c r="N221" s="129" t="s">
        <v>32</v>
      </c>
      <c r="O221" s="129" t="s">
        <v>28</v>
      </c>
      <c r="P221" s="129" t="str">
        <f t="shared" si="7"/>
        <v>N/A</v>
      </c>
      <c r="Q221" s="130"/>
      <c r="R221" s="128">
        <v>76.400000000000006</v>
      </c>
      <c r="S221" s="130"/>
      <c r="T221" s="130" t="s">
        <v>31</v>
      </c>
      <c r="U221" s="131" t="s">
        <v>1268</v>
      </c>
    </row>
    <row r="222" spans="1:21" ht="15.75" hidden="1" thickBot="1">
      <c r="A222" s="123">
        <v>1051</v>
      </c>
      <c r="B222" s="123"/>
      <c r="C222" s="123"/>
      <c r="D222" s="123"/>
      <c r="E222" s="123"/>
      <c r="F222" s="123"/>
      <c r="G222" s="127" t="s">
        <v>69</v>
      </c>
      <c r="H222" s="128">
        <v>2010</v>
      </c>
      <c r="I222" s="128" t="s">
        <v>70</v>
      </c>
      <c r="J222" s="128">
        <f t="shared" si="6"/>
        <v>1</v>
      </c>
      <c r="K222" s="128" t="s">
        <v>75</v>
      </c>
      <c r="L222" s="128" t="s">
        <v>40</v>
      </c>
      <c r="M222" s="129" t="s">
        <v>31</v>
      </c>
      <c r="N222" s="129" t="s">
        <v>32</v>
      </c>
      <c r="O222" s="129" t="s">
        <v>32</v>
      </c>
      <c r="P222" s="129" t="str">
        <f t="shared" si="7"/>
        <v>Y</v>
      </c>
      <c r="Q222" s="130"/>
      <c r="R222" s="128">
        <v>97.85</v>
      </c>
      <c r="S222" s="130"/>
      <c r="T222" s="130" t="s">
        <v>31</v>
      </c>
      <c r="U222" s="131"/>
    </row>
    <row r="223" spans="1:21" ht="15.75" hidden="1" thickBot="1">
      <c r="A223" s="123">
        <v>1052</v>
      </c>
      <c r="B223" s="123"/>
      <c r="C223" s="123"/>
      <c r="D223" s="123"/>
      <c r="E223" s="123"/>
      <c r="F223" s="123"/>
      <c r="G223" s="127" t="s">
        <v>69</v>
      </c>
      <c r="H223" s="128">
        <v>2010</v>
      </c>
      <c r="I223" s="128" t="s">
        <v>76</v>
      </c>
      <c r="J223" s="128">
        <f t="shared" si="6"/>
        <v>4</v>
      </c>
      <c r="K223" s="128" t="s">
        <v>1269</v>
      </c>
      <c r="L223" s="128" t="s">
        <v>30</v>
      </c>
      <c r="M223" s="129" t="s">
        <v>31</v>
      </c>
      <c r="N223" s="129" t="s">
        <v>28</v>
      </c>
      <c r="O223" s="129" t="s">
        <v>28</v>
      </c>
      <c r="P223" s="129" t="str">
        <f t="shared" si="7"/>
        <v>N/A</v>
      </c>
      <c r="Q223" s="128" t="s">
        <v>1004</v>
      </c>
      <c r="R223" s="128">
        <v>3.34</v>
      </c>
      <c r="S223" s="130"/>
      <c r="T223" s="130" t="s">
        <v>31</v>
      </c>
      <c r="U223" s="131"/>
    </row>
    <row r="224" spans="1:21" ht="15.75" hidden="1" thickBot="1">
      <c r="A224" s="123">
        <v>1052</v>
      </c>
      <c r="B224" s="123"/>
      <c r="C224" s="123"/>
      <c r="D224" s="123"/>
      <c r="E224" s="123"/>
      <c r="F224" s="123"/>
      <c r="G224" s="127" t="s">
        <v>69</v>
      </c>
      <c r="H224" s="128">
        <v>2010</v>
      </c>
      <c r="I224" s="128" t="s">
        <v>76</v>
      </c>
      <c r="J224" s="128">
        <f t="shared" si="6"/>
        <v>4</v>
      </c>
      <c r="K224" s="128" t="s">
        <v>1270</v>
      </c>
      <c r="L224" s="128" t="s">
        <v>30</v>
      </c>
      <c r="M224" s="129" t="s">
        <v>31</v>
      </c>
      <c r="N224" s="129" t="s">
        <v>28</v>
      </c>
      <c r="O224" s="129" t="s">
        <v>28</v>
      </c>
      <c r="P224" s="129" t="str">
        <f t="shared" si="7"/>
        <v>N/A</v>
      </c>
      <c r="Q224" s="128" t="s">
        <v>1004</v>
      </c>
      <c r="R224" s="128">
        <v>22.41</v>
      </c>
      <c r="S224" s="130"/>
      <c r="T224" s="130" t="s">
        <v>31</v>
      </c>
      <c r="U224" s="131"/>
    </row>
    <row r="225" spans="1:21" ht="15.75" hidden="1" thickBot="1">
      <c r="A225" s="123">
        <v>1052</v>
      </c>
      <c r="B225" s="123"/>
      <c r="C225" s="123"/>
      <c r="D225" s="123"/>
      <c r="E225" s="123"/>
      <c r="F225" s="123"/>
      <c r="G225" s="127" t="s">
        <v>69</v>
      </c>
      <c r="H225" s="128">
        <v>2010</v>
      </c>
      <c r="I225" s="128" t="s">
        <v>76</v>
      </c>
      <c r="J225" s="128">
        <f t="shared" si="6"/>
        <v>4</v>
      </c>
      <c r="K225" s="128" t="s">
        <v>78</v>
      </c>
      <c r="L225" s="128" t="s">
        <v>40</v>
      </c>
      <c r="M225" s="129" t="s">
        <v>31</v>
      </c>
      <c r="N225" s="129" t="s">
        <v>32</v>
      </c>
      <c r="O225" s="129" t="s">
        <v>32</v>
      </c>
      <c r="P225" s="129" t="str">
        <f t="shared" si="7"/>
        <v>Y</v>
      </c>
      <c r="Q225" s="130"/>
      <c r="R225" s="128">
        <v>65.56</v>
      </c>
      <c r="S225" s="130"/>
      <c r="T225" s="130" t="s">
        <v>31</v>
      </c>
      <c r="U225" s="131"/>
    </row>
    <row r="226" spans="1:21" ht="15.75" hidden="1" thickBot="1">
      <c r="A226" s="123">
        <v>1052</v>
      </c>
      <c r="B226" s="123"/>
      <c r="C226" s="123"/>
      <c r="D226" s="123"/>
      <c r="E226" s="123"/>
      <c r="F226" s="123"/>
      <c r="G226" s="127" t="s">
        <v>69</v>
      </c>
      <c r="H226" s="128">
        <v>2010</v>
      </c>
      <c r="I226" s="128" t="s">
        <v>76</v>
      </c>
      <c r="J226" s="128">
        <f t="shared" si="6"/>
        <v>4</v>
      </c>
      <c r="K226" s="128" t="s">
        <v>1250</v>
      </c>
      <c r="L226" s="128" t="s">
        <v>40</v>
      </c>
      <c r="M226" s="129" t="s">
        <v>31</v>
      </c>
      <c r="N226" s="129" t="s">
        <v>28</v>
      </c>
      <c r="O226" s="129" t="s">
        <v>28</v>
      </c>
      <c r="P226" s="129" t="str">
        <f t="shared" si="7"/>
        <v>N/A</v>
      </c>
      <c r="Q226" s="130"/>
      <c r="R226" s="128">
        <v>8.3699999999999992</v>
      </c>
      <c r="S226" s="130"/>
      <c r="T226" s="130" t="s">
        <v>31</v>
      </c>
      <c r="U226" s="131"/>
    </row>
    <row r="227" spans="1:21" ht="15.75" hidden="1" thickBot="1">
      <c r="A227" s="123">
        <v>1053</v>
      </c>
      <c r="B227" s="123"/>
      <c r="C227" s="123"/>
      <c r="D227" s="123"/>
      <c r="E227" s="123"/>
      <c r="F227" s="123"/>
      <c r="G227" s="127" t="s">
        <v>69</v>
      </c>
      <c r="H227" s="128">
        <v>2010</v>
      </c>
      <c r="I227" s="128" t="s">
        <v>79</v>
      </c>
      <c r="J227" s="128">
        <f t="shared" si="6"/>
        <v>4</v>
      </c>
      <c r="K227" s="128" t="s">
        <v>1271</v>
      </c>
      <c r="L227" s="128" t="s">
        <v>30</v>
      </c>
      <c r="M227" s="129" t="s">
        <v>31</v>
      </c>
      <c r="N227" s="129" t="s">
        <v>28</v>
      </c>
      <c r="O227" s="129" t="s">
        <v>28</v>
      </c>
      <c r="P227" s="129" t="str">
        <f t="shared" si="7"/>
        <v>N/A</v>
      </c>
      <c r="Q227" s="130"/>
      <c r="R227" s="128">
        <v>10.63</v>
      </c>
      <c r="S227" s="130"/>
      <c r="T227" s="130" t="s">
        <v>31</v>
      </c>
      <c r="U227" s="131"/>
    </row>
    <row r="228" spans="1:21" ht="15.75" hidden="1" thickBot="1">
      <c r="A228" s="123">
        <v>1053</v>
      </c>
      <c r="B228" s="123"/>
      <c r="C228" s="123"/>
      <c r="D228" s="123"/>
      <c r="E228" s="123"/>
      <c r="F228" s="123"/>
      <c r="G228" s="127" t="s">
        <v>69</v>
      </c>
      <c r="H228" s="128">
        <v>2010</v>
      </c>
      <c r="I228" s="128" t="s">
        <v>79</v>
      </c>
      <c r="J228" s="128">
        <f t="shared" si="6"/>
        <v>4</v>
      </c>
      <c r="K228" s="128" t="s">
        <v>1272</v>
      </c>
      <c r="L228" s="128" t="s">
        <v>30</v>
      </c>
      <c r="M228" s="129" t="s">
        <v>31</v>
      </c>
      <c r="N228" s="129" t="s">
        <v>28</v>
      </c>
      <c r="O228" s="129" t="s">
        <v>28</v>
      </c>
      <c r="P228" s="129" t="str">
        <f t="shared" si="7"/>
        <v>N/A</v>
      </c>
      <c r="Q228" s="128" t="s">
        <v>1273</v>
      </c>
      <c r="R228" s="128">
        <v>3.9</v>
      </c>
      <c r="S228" s="130"/>
      <c r="T228" s="130" t="s">
        <v>31</v>
      </c>
      <c r="U228" s="131"/>
    </row>
    <row r="229" spans="1:21" ht="15.75" hidden="1" thickBot="1">
      <c r="A229" s="123">
        <v>1053</v>
      </c>
      <c r="B229" s="123"/>
      <c r="C229" s="123"/>
      <c r="D229" s="123"/>
      <c r="E229" s="123"/>
      <c r="F229" s="123"/>
      <c r="G229" s="127" t="s">
        <v>69</v>
      </c>
      <c r="H229" s="128">
        <v>2010</v>
      </c>
      <c r="I229" s="128" t="s">
        <v>79</v>
      </c>
      <c r="J229" s="128">
        <f t="shared" si="6"/>
        <v>4</v>
      </c>
      <c r="K229" s="128" t="s">
        <v>81</v>
      </c>
      <c r="L229" s="128" t="s">
        <v>30</v>
      </c>
      <c r="M229" s="129" t="s">
        <v>1065</v>
      </c>
      <c r="N229" s="129" t="s">
        <v>32</v>
      </c>
      <c r="O229" s="129" t="s">
        <v>32</v>
      </c>
      <c r="P229" s="129" t="str">
        <f t="shared" si="7"/>
        <v>Y</v>
      </c>
      <c r="Q229" s="130"/>
      <c r="R229" s="128">
        <v>53.52</v>
      </c>
      <c r="S229" s="130"/>
      <c r="T229" s="130"/>
      <c r="U229" s="131"/>
    </row>
    <row r="230" spans="1:21" ht="15.75" hidden="1" thickBot="1">
      <c r="A230" s="123">
        <v>1053</v>
      </c>
      <c r="B230" s="123"/>
      <c r="C230" s="123"/>
      <c r="D230" s="123"/>
      <c r="E230" s="123"/>
      <c r="F230" s="123"/>
      <c r="G230" s="127" t="s">
        <v>69</v>
      </c>
      <c r="H230" s="128">
        <v>2010</v>
      </c>
      <c r="I230" s="128" t="s">
        <v>79</v>
      </c>
      <c r="J230" s="128">
        <f t="shared" si="6"/>
        <v>4</v>
      </c>
      <c r="K230" s="128" t="s">
        <v>1274</v>
      </c>
      <c r="L230" s="128" t="s">
        <v>30</v>
      </c>
      <c r="M230" s="129" t="s">
        <v>31</v>
      </c>
      <c r="N230" s="129" t="s">
        <v>28</v>
      </c>
      <c r="O230" s="129" t="s">
        <v>28</v>
      </c>
      <c r="P230" s="129" t="str">
        <f t="shared" si="7"/>
        <v>N/A</v>
      </c>
      <c r="Q230" s="128" t="s">
        <v>1275</v>
      </c>
      <c r="R230" s="128">
        <v>31.41</v>
      </c>
      <c r="S230" s="130"/>
      <c r="T230" s="130" t="s">
        <v>31</v>
      </c>
      <c r="U230" s="131"/>
    </row>
    <row r="231" spans="1:21" ht="26.25" hidden="1" thickBot="1">
      <c r="A231" s="123">
        <v>1054</v>
      </c>
      <c r="B231" s="123"/>
      <c r="C231" s="123"/>
      <c r="D231" s="123"/>
      <c r="E231" s="123"/>
      <c r="F231" s="123"/>
      <c r="G231" s="127" t="s">
        <v>69</v>
      </c>
      <c r="H231" s="128">
        <v>2010</v>
      </c>
      <c r="I231" s="128" t="s">
        <v>82</v>
      </c>
      <c r="J231" s="128">
        <f t="shared" si="6"/>
        <v>3</v>
      </c>
      <c r="K231" s="128" t="s">
        <v>1276</v>
      </c>
      <c r="L231" s="128" t="s">
        <v>40</v>
      </c>
      <c r="M231" s="129" t="s">
        <v>34</v>
      </c>
      <c r="N231" s="129" t="s">
        <v>28</v>
      </c>
      <c r="O231" s="129" t="s">
        <v>28</v>
      </c>
      <c r="P231" s="129" t="str">
        <f t="shared" si="7"/>
        <v>N/A</v>
      </c>
      <c r="Q231" s="128" t="s">
        <v>1277</v>
      </c>
      <c r="R231" s="128">
        <v>15.08</v>
      </c>
      <c r="S231" s="128">
        <v>15.38</v>
      </c>
      <c r="T231" s="130" t="s">
        <v>1197</v>
      </c>
      <c r="U231" s="131" t="s">
        <v>1278</v>
      </c>
    </row>
    <row r="232" spans="1:21" ht="15.75" hidden="1" thickBot="1">
      <c r="A232" s="123">
        <v>1054</v>
      </c>
      <c r="B232" s="123"/>
      <c r="C232" s="123"/>
      <c r="D232" s="123"/>
      <c r="E232" s="123"/>
      <c r="F232" s="123"/>
      <c r="G232" s="127" t="s">
        <v>69</v>
      </c>
      <c r="H232" s="128">
        <v>2010</v>
      </c>
      <c r="I232" s="128" t="s">
        <v>82</v>
      </c>
      <c r="J232" s="128">
        <f t="shared" si="6"/>
        <v>3</v>
      </c>
      <c r="K232" s="128" t="s">
        <v>1254</v>
      </c>
      <c r="L232" s="128" t="s">
        <v>30</v>
      </c>
      <c r="M232" s="129" t="s">
        <v>31</v>
      </c>
      <c r="N232" s="129" t="s">
        <v>28</v>
      </c>
      <c r="O232" s="129" t="s">
        <v>28</v>
      </c>
      <c r="P232" s="129" t="str">
        <f t="shared" si="7"/>
        <v>N/A</v>
      </c>
      <c r="Q232" s="130"/>
      <c r="R232" s="128">
        <v>34.33</v>
      </c>
      <c r="S232" s="128">
        <v>34.56</v>
      </c>
      <c r="T232" s="130" t="s">
        <v>31</v>
      </c>
      <c r="U232" s="131"/>
    </row>
    <row r="233" spans="1:21" ht="15.75" thickBot="1">
      <c r="A233" s="123">
        <v>1054</v>
      </c>
      <c r="B233" s="123"/>
      <c r="C233" s="123"/>
      <c r="D233" s="123"/>
      <c r="E233" s="123"/>
      <c r="F233" s="123"/>
      <c r="G233" s="127" t="s">
        <v>69</v>
      </c>
      <c r="H233" s="128">
        <v>2010</v>
      </c>
      <c r="I233" s="128" t="s">
        <v>82</v>
      </c>
      <c r="J233" s="128">
        <f t="shared" si="6"/>
        <v>3</v>
      </c>
      <c r="K233" s="128" t="s">
        <v>84</v>
      </c>
      <c r="L233" s="128" t="s">
        <v>30</v>
      </c>
      <c r="M233" s="129" t="s">
        <v>31</v>
      </c>
      <c r="N233" s="129" t="s">
        <v>28</v>
      </c>
      <c r="O233" s="129" t="s">
        <v>32</v>
      </c>
      <c r="P233" s="129" t="str">
        <f t="shared" si="7"/>
        <v>N</v>
      </c>
      <c r="Q233" s="130"/>
      <c r="R233" s="128">
        <v>49.72</v>
      </c>
      <c r="S233" s="128">
        <v>50.06</v>
      </c>
      <c r="T233" s="130" t="s">
        <v>31</v>
      </c>
      <c r="U233" s="131"/>
    </row>
    <row r="234" spans="1:21" ht="15.75" hidden="1" thickBot="1">
      <c r="A234" s="123">
        <v>1055</v>
      </c>
      <c r="B234" s="123"/>
      <c r="C234" s="123"/>
      <c r="D234" s="123"/>
      <c r="E234" s="123"/>
      <c r="F234" s="123"/>
      <c r="G234" s="127" t="s">
        <v>69</v>
      </c>
      <c r="H234" s="128">
        <v>2010</v>
      </c>
      <c r="I234" s="128" t="s">
        <v>85</v>
      </c>
      <c r="J234" s="128">
        <f t="shared" si="6"/>
        <v>3</v>
      </c>
      <c r="K234" s="128" t="s">
        <v>104</v>
      </c>
      <c r="L234" s="128" t="s">
        <v>30</v>
      </c>
      <c r="M234" s="129" t="s">
        <v>31</v>
      </c>
      <c r="N234" s="129" t="s">
        <v>32</v>
      </c>
      <c r="O234" s="129" t="s">
        <v>32</v>
      </c>
      <c r="P234" s="129" t="str">
        <f t="shared" si="7"/>
        <v>Y</v>
      </c>
      <c r="Q234" s="130"/>
      <c r="R234" s="128">
        <v>61.03</v>
      </c>
      <c r="S234" s="130"/>
      <c r="T234" s="130" t="s">
        <v>31</v>
      </c>
      <c r="U234" s="131"/>
    </row>
    <row r="235" spans="1:21" ht="15.75" hidden="1" thickBot="1">
      <c r="A235" s="123">
        <v>1055</v>
      </c>
      <c r="B235" s="123"/>
      <c r="C235" s="123"/>
      <c r="D235" s="123"/>
      <c r="E235" s="123"/>
      <c r="F235" s="123"/>
      <c r="G235" s="127" t="s">
        <v>69</v>
      </c>
      <c r="H235" s="128">
        <v>2010</v>
      </c>
      <c r="I235" s="128" t="s">
        <v>85</v>
      </c>
      <c r="J235" s="128">
        <f t="shared" si="6"/>
        <v>3</v>
      </c>
      <c r="K235" s="128" t="s">
        <v>1279</v>
      </c>
      <c r="L235" s="128" t="s">
        <v>40</v>
      </c>
      <c r="M235" s="129" t="s">
        <v>31</v>
      </c>
      <c r="N235" s="129" t="s">
        <v>28</v>
      </c>
      <c r="O235" s="129" t="s">
        <v>28</v>
      </c>
      <c r="P235" s="129" t="str">
        <f t="shared" si="7"/>
        <v>N/A</v>
      </c>
      <c r="Q235" s="130"/>
      <c r="R235" s="128">
        <v>19.12</v>
      </c>
      <c r="S235" s="130"/>
      <c r="T235" s="130" t="s">
        <v>31</v>
      </c>
      <c r="U235" s="131"/>
    </row>
    <row r="236" spans="1:21" ht="15.75" hidden="1" thickBot="1">
      <c r="A236" s="123">
        <v>1055</v>
      </c>
      <c r="B236" s="123"/>
      <c r="C236" s="123"/>
      <c r="D236" s="123"/>
      <c r="E236" s="123"/>
      <c r="F236" s="123"/>
      <c r="G236" s="127" t="s">
        <v>69</v>
      </c>
      <c r="H236" s="128">
        <v>2010</v>
      </c>
      <c r="I236" s="128" t="s">
        <v>85</v>
      </c>
      <c r="J236" s="128">
        <f t="shared" si="6"/>
        <v>3</v>
      </c>
      <c r="K236" s="128" t="s">
        <v>1280</v>
      </c>
      <c r="L236" s="128" t="s">
        <v>30</v>
      </c>
      <c r="M236" s="129" t="s">
        <v>31</v>
      </c>
      <c r="N236" s="129" t="s">
        <v>28</v>
      </c>
      <c r="O236" s="129" t="s">
        <v>28</v>
      </c>
      <c r="P236" s="129" t="str">
        <f t="shared" si="7"/>
        <v>N/A</v>
      </c>
      <c r="Q236" s="128" t="s">
        <v>1281</v>
      </c>
      <c r="R236" s="128">
        <v>19.329999999999998</v>
      </c>
      <c r="S236" s="130"/>
      <c r="T236" s="130" t="s">
        <v>31</v>
      </c>
      <c r="U236" s="131"/>
    </row>
    <row r="237" spans="1:21" ht="15.75" hidden="1" thickBot="1">
      <c r="A237" s="45">
        <v>1046</v>
      </c>
      <c r="B237" s="123"/>
      <c r="C237" s="123"/>
      <c r="D237" s="123"/>
      <c r="E237" s="123"/>
      <c r="F237" s="123"/>
      <c r="G237" s="127" t="s">
        <v>69</v>
      </c>
      <c r="H237" s="128">
        <v>2012</v>
      </c>
      <c r="I237" s="128" t="s">
        <v>38</v>
      </c>
      <c r="J237" s="128">
        <f t="shared" si="6"/>
        <v>7</v>
      </c>
      <c r="K237" s="128" t="s">
        <v>1271</v>
      </c>
      <c r="L237" s="128" t="s">
        <v>30</v>
      </c>
      <c r="M237" s="129" t="s">
        <v>31</v>
      </c>
      <c r="N237" s="129" t="s">
        <v>28</v>
      </c>
      <c r="O237" s="129" t="s">
        <v>28</v>
      </c>
      <c r="P237" s="129" t="str">
        <f t="shared" si="7"/>
        <v>N/A</v>
      </c>
      <c r="Q237" s="128" t="s">
        <v>1282</v>
      </c>
      <c r="R237" s="128">
        <v>4.3899999999999997</v>
      </c>
      <c r="S237" s="130"/>
      <c r="T237" s="130" t="s">
        <v>31</v>
      </c>
      <c r="U237" s="123"/>
    </row>
    <row r="238" spans="1:21" ht="15.75" hidden="1" thickBot="1">
      <c r="A238" s="45">
        <v>1046</v>
      </c>
      <c r="B238" s="123"/>
      <c r="C238" s="123"/>
      <c r="D238" s="123"/>
      <c r="E238" s="123"/>
      <c r="F238" s="123"/>
      <c r="G238" s="127" t="s">
        <v>69</v>
      </c>
      <c r="H238" s="128">
        <v>2012</v>
      </c>
      <c r="I238" s="128" t="s">
        <v>38</v>
      </c>
      <c r="J238" s="128">
        <f t="shared" si="6"/>
        <v>7</v>
      </c>
      <c r="K238" s="128" t="s">
        <v>1279</v>
      </c>
      <c r="L238" s="128" t="s">
        <v>40</v>
      </c>
      <c r="M238" s="129" t="s">
        <v>31</v>
      </c>
      <c r="N238" s="129" t="s">
        <v>28</v>
      </c>
      <c r="O238" s="129" t="s">
        <v>28</v>
      </c>
      <c r="P238" s="129" t="str">
        <f t="shared" si="7"/>
        <v>N/A</v>
      </c>
      <c r="Q238" s="130"/>
      <c r="R238" s="128">
        <v>11.35</v>
      </c>
      <c r="S238" s="130"/>
      <c r="T238" s="130" t="s">
        <v>31</v>
      </c>
      <c r="U238" s="131"/>
    </row>
    <row r="239" spans="1:21" ht="15.75" hidden="1" thickBot="1">
      <c r="A239" s="45">
        <v>1046</v>
      </c>
      <c r="B239" s="123"/>
      <c r="C239" s="123"/>
      <c r="D239" s="123"/>
      <c r="E239" s="123"/>
      <c r="F239" s="123"/>
      <c r="G239" s="127" t="s">
        <v>69</v>
      </c>
      <c r="H239" s="128">
        <v>2012</v>
      </c>
      <c r="I239" s="128" t="s">
        <v>38</v>
      </c>
      <c r="J239" s="128">
        <f t="shared" si="6"/>
        <v>7</v>
      </c>
      <c r="K239" s="128" t="s">
        <v>1283</v>
      </c>
      <c r="L239" s="128" t="s">
        <v>30</v>
      </c>
      <c r="M239" s="129" t="s">
        <v>1013</v>
      </c>
      <c r="N239" s="129" t="s">
        <v>28</v>
      </c>
      <c r="O239" s="129" t="s">
        <v>28</v>
      </c>
      <c r="P239" s="129" t="str">
        <f t="shared" si="7"/>
        <v>N/A</v>
      </c>
      <c r="Q239" s="128" t="s">
        <v>1284</v>
      </c>
      <c r="R239" s="128">
        <v>4.25</v>
      </c>
      <c r="S239" s="130"/>
      <c r="T239" s="143" t="s">
        <v>1285</v>
      </c>
      <c r="U239" s="131"/>
    </row>
    <row r="240" spans="1:21" ht="15.75" hidden="1" thickBot="1">
      <c r="A240" s="45">
        <v>1046</v>
      </c>
      <c r="B240" s="123"/>
      <c r="C240" s="123"/>
      <c r="D240" s="123"/>
      <c r="E240" s="123"/>
      <c r="F240" s="123"/>
      <c r="G240" s="127" t="s">
        <v>69</v>
      </c>
      <c r="H240" s="128">
        <v>2012</v>
      </c>
      <c r="I240" s="128" t="s">
        <v>38</v>
      </c>
      <c r="J240" s="128">
        <f t="shared" si="6"/>
        <v>7</v>
      </c>
      <c r="K240" s="128" t="s">
        <v>84</v>
      </c>
      <c r="L240" s="128" t="s">
        <v>30</v>
      </c>
      <c r="M240" s="129" t="s">
        <v>31</v>
      </c>
      <c r="N240" s="129" t="s">
        <v>28</v>
      </c>
      <c r="O240" s="129" t="s">
        <v>28</v>
      </c>
      <c r="P240" s="129" t="str">
        <f t="shared" si="7"/>
        <v>N/A</v>
      </c>
      <c r="Q240" s="130"/>
      <c r="R240" s="128">
        <v>21.74</v>
      </c>
      <c r="S240" s="130"/>
      <c r="T240" s="130" t="s">
        <v>31</v>
      </c>
      <c r="U240" s="131"/>
    </row>
    <row r="241" spans="1:21" ht="15.75" hidden="1" thickBot="1">
      <c r="A241" s="45">
        <v>1046</v>
      </c>
      <c r="B241" s="123"/>
      <c r="C241" s="123"/>
      <c r="D241" s="123"/>
      <c r="E241" s="123"/>
      <c r="F241" s="123"/>
      <c r="G241" s="127" t="s">
        <v>69</v>
      </c>
      <c r="H241" s="128">
        <v>2012</v>
      </c>
      <c r="I241" s="128" t="s">
        <v>38</v>
      </c>
      <c r="J241" s="128">
        <f t="shared" si="6"/>
        <v>7</v>
      </c>
      <c r="K241" s="128" t="s">
        <v>1286</v>
      </c>
      <c r="L241" s="128" t="s">
        <v>30</v>
      </c>
      <c r="M241" s="129" t="s">
        <v>31</v>
      </c>
      <c r="N241" s="129" t="s">
        <v>28</v>
      </c>
      <c r="O241" s="129" t="s">
        <v>28</v>
      </c>
      <c r="P241" s="129" t="str">
        <f t="shared" si="7"/>
        <v>N/A</v>
      </c>
      <c r="Q241" s="128" t="s">
        <v>1287</v>
      </c>
      <c r="R241" s="128">
        <v>0.02</v>
      </c>
      <c r="S241" s="130"/>
      <c r="T241" s="130" t="s">
        <v>31</v>
      </c>
      <c r="U241" s="131"/>
    </row>
    <row r="242" spans="1:21" ht="15.75" hidden="1" thickBot="1">
      <c r="A242" s="45">
        <v>1046</v>
      </c>
      <c r="B242" s="123"/>
      <c r="C242" s="123"/>
      <c r="D242" s="123"/>
      <c r="E242" s="123"/>
      <c r="F242" s="123"/>
      <c r="G242" s="127" t="s">
        <v>69</v>
      </c>
      <c r="H242" s="128">
        <v>2012</v>
      </c>
      <c r="I242" s="128" t="s">
        <v>38</v>
      </c>
      <c r="J242" s="128">
        <f t="shared" si="6"/>
        <v>7</v>
      </c>
      <c r="K242" s="128" t="s">
        <v>90</v>
      </c>
      <c r="L242" s="128" t="s">
        <v>30</v>
      </c>
      <c r="M242" s="129" t="s">
        <v>31</v>
      </c>
      <c r="N242" s="129" t="s">
        <v>32</v>
      </c>
      <c r="O242" s="129" t="s">
        <v>32</v>
      </c>
      <c r="P242" s="129" t="str">
        <f t="shared" si="7"/>
        <v>Y</v>
      </c>
      <c r="Q242" s="130"/>
      <c r="R242" s="128">
        <v>54.09</v>
      </c>
      <c r="S242" s="130"/>
      <c r="T242" s="130" t="s">
        <v>31</v>
      </c>
      <c r="U242" s="131"/>
    </row>
    <row r="243" spans="1:21" ht="26.25" hidden="1" thickBot="1">
      <c r="A243" s="45">
        <v>1046</v>
      </c>
      <c r="B243" s="123"/>
      <c r="C243" s="123"/>
      <c r="D243" s="123"/>
      <c r="E243" s="123"/>
      <c r="F243" s="123"/>
      <c r="G243" s="127" t="s">
        <v>69</v>
      </c>
      <c r="H243" s="128">
        <v>2012</v>
      </c>
      <c r="I243" s="128" t="s">
        <v>38</v>
      </c>
      <c r="J243" s="128">
        <f t="shared" si="6"/>
        <v>7</v>
      </c>
      <c r="K243" s="128" t="s">
        <v>1246</v>
      </c>
      <c r="L243" s="128" t="s">
        <v>30</v>
      </c>
      <c r="M243" s="129" t="s">
        <v>1247</v>
      </c>
      <c r="N243" s="129" t="s">
        <v>28</v>
      </c>
      <c r="O243" s="129" t="s">
        <v>28</v>
      </c>
      <c r="P243" s="129" t="str">
        <f t="shared" si="7"/>
        <v>N/A</v>
      </c>
      <c r="Q243" s="128" t="s">
        <v>1288</v>
      </c>
      <c r="R243" s="128">
        <v>3.81</v>
      </c>
      <c r="S243" s="130"/>
      <c r="T243" s="130" t="s">
        <v>1194</v>
      </c>
      <c r="U243" s="123"/>
    </row>
    <row r="244" spans="1:21" ht="15.75" hidden="1" thickBot="1">
      <c r="A244" s="123">
        <v>1047</v>
      </c>
      <c r="B244" s="123"/>
      <c r="C244" s="123"/>
      <c r="D244" s="123"/>
      <c r="E244" s="123"/>
      <c r="F244" s="123"/>
      <c r="G244" s="127" t="s">
        <v>69</v>
      </c>
      <c r="H244" s="128">
        <v>2012</v>
      </c>
      <c r="I244" s="128" t="s">
        <v>91</v>
      </c>
      <c r="J244" s="128">
        <f t="shared" si="6"/>
        <v>3</v>
      </c>
      <c r="K244" s="128" t="s">
        <v>1289</v>
      </c>
      <c r="L244" s="128" t="s">
        <v>30</v>
      </c>
      <c r="M244" s="129" t="s">
        <v>1065</v>
      </c>
      <c r="N244" s="129" t="s">
        <v>28</v>
      </c>
      <c r="O244" s="129" t="s">
        <v>28</v>
      </c>
      <c r="P244" s="129" t="str">
        <f t="shared" si="7"/>
        <v>N/A</v>
      </c>
      <c r="Q244" s="128" t="s">
        <v>1290</v>
      </c>
      <c r="R244" s="128">
        <v>12.64</v>
      </c>
      <c r="S244" s="130"/>
      <c r="T244" s="130" t="s">
        <v>29</v>
      </c>
      <c r="U244" s="131"/>
    </row>
    <row r="245" spans="1:21" ht="15.75" hidden="1" thickBot="1">
      <c r="A245" s="123">
        <v>1047</v>
      </c>
      <c r="B245" s="123"/>
      <c r="C245" s="123"/>
      <c r="D245" s="123"/>
      <c r="E245" s="123"/>
      <c r="F245" s="123"/>
      <c r="G245" s="127" t="s">
        <v>69</v>
      </c>
      <c r="H245" s="128">
        <v>2012</v>
      </c>
      <c r="I245" s="128" t="s">
        <v>91</v>
      </c>
      <c r="J245" s="128">
        <f t="shared" si="6"/>
        <v>3</v>
      </c>
      <c r="K245" s="128" t="s">
        <v>93</v>
      </c>
      <c r="L245" s="128" t="s">
        <v>30</v>
      </c>
      <c r="M245" s="129" t="s">
        <v>201</v>
      </c>
      <c r="N245" s="129" t="s">
        <v>32</v>
      </c>
      <c r="O245" s="129" t="s">
        <v>32</v>
      </c>
      <c r="P245" s="129" t="str">
        <f t="shared" si="7"/>
        <v>Y</v>
      </c>
      <c r="Q245" s="132" t="s">
        <v>1291</v>
      </c>
      <c r="R245" s="128">
        <v>58.68</v>
      </c>
      <c r="S245" s="130"/>
      <c r="T245" s="130" t="s">
        <v>998</v>
      </c>
      <c r="U245" s="131"/>
    </row>
    <row r="246" spans="1:21" ht="51.75" hidden="1" thickBot="1">
      <c r="A246" s="123">
        <v>1047</v>
      </c>
      <c r="B246" s="123"/>
      <c r="C246" s="123"/>
      <c r="D246" s="123"/>
      <c r="E246" s="123"/>
      <c r="F246" s="123"/>
      <c r="G246" s="127" t="s">
        <v>69</v>
      </c>
      <c r="H246" s="128">
        <v>2012</v>
      </c>
      <c r="I246" s="128" t="s">
        <v>91</v>
      </c>
      <c r="J246" s="128">
        <f t="shared" si="6"/>
        <v>3</v>
      </c>
      <c r="K246" s="128" t="s">
        <v>1292</v>
      </c>
      <c r="L246" s="128" t="s">
        <v>40</v>
      </c>
      <c r="M246" s="129" t="s">
        <v>201</v>
      </c>
      <c r="N246" s="129" t="s">
        <v>28</v>
      </c>
      <c r="O246" s="129" t="s">
        <v>28</v>
      </c>
      <c r="P246" s="129" t="str">
        <f t="shared" si="7"/>
        <v>N/A</v>
      </c>
      <c r="Q246" s="128" t="s">
        <v>1293</v>
      </c>
      <c r="R246" s="128">
        <v>28.17</v>
      </c>
      <c r="S246" s="130"/>
      <c r="T246" s="130" t="s">
        <v>1294</v>
      </c>
      <c r="U246" s="131"/>
    </row>
    <row r="247" spans="1:21" ht="15.75" thickBot="1">
      <c r="A247" s="123">
        <v>1048</v>
      </c>
      <c r="B247" s="123"/>
      <c r="C247" s="123"/>
      <c r="D247" s="123"/>
      <c r="E247" s="123"/>
      <c r="F247" s="123"/>
      <c r="G247" s="127" t="s">
        <v>69</v>
      </c>
      <c r="H247" s="128">
        <v>2012</v>
      </c>
      <c r="I247" s="128" t="s">
        <v>94</v>
      </c>
      <c r="J247" s="128">
        <f t="shared" si="6"/>
        <v>2</v>
      </c>
      <c r="K247" s="128" t="s">
        <v>1295</v>
      </c>
      <c r="L247" s="128" t="s">
        <v>30</v>
      </c>
      <c r="M247" s="129" t="s">
        <v>31</v>
      </c>
      <c r="N247" s="129" t="s">
        <v>28</v>
      </c>
      <c r="O247" s="129"/>
      <c r="P247" s="129" t="str">
        <f t="shared" si="7"/>
        <v/>
      </c>
      <c r="Q247" s="128" t="s">
        <v>1296</v>
      </c>
      <c r="R247" s="128">
        <v>39.11</v>
      </c>
      <c r="S247" s="130"/>
      <c r="T247" s="130" t="s">
        <v>31</v>
      </c>
      <c r="U247" s="131"/>
    </row>
    <row r="248" spans="1:21" ht="15.75" hidden="1" thickBot="1">
      <c r="A248" s="123">
        <v>1048</v>
      </c>
      <c r="B248" s="123"/>
      <c r="C248" s="123"/>
      <c r="D248" s="123"/>
      <c r="E248" s="123"/>
      <c r="F248" s="123"/>
      <c r="G248" s="127" t="s">
        <v>69</v>
      </c>
      <c r="H248" s="128">
        <v>2012</v>
      </c>
      <c r="I248" s="128" t="s">
        <v>94</v>
      </c>
      <c r="J248" s="128">
        <f t="shared" si="6"/>
        <v>2</v>
      </c>
      <c r="K248" s="128" t="s">
        <v>96</v>
      </c>
      <c r="L248" s="128" t="s">
        <v>30</v>
      </c>
      <c r="M248" s="129" t="s">
        <v>201</v>
      </c>
      <c r="N248" s="129" t="s">
        <v>32</v>
      </c>
      <c r="O248" s="129" t="s">
        <v>32</v>
      </c>
      <c r="P248" s="129" t="str">
        <f t="shared" si="7"/>
        <v>Y</v>
      </c>
      <c r="Q248" s="132" t="s">
        <v>1297</v>
      </c>
      <c r="R248" s="128">
        <v>60.35</v>
      </c>
      <c r="S248" s="130"/>
      <c r="T248" s="130" t="s">
        <v>998</v>
      </c>
      <c r="U248" s="131"/>
    </row>
    <row r="249" spans="1:21" ht="15.75" hidden="1" thickBot="1">
      <c r="A249" s="123">
        <v>1049</v>
      </c>
      <c r="B249" s="123"/>
      <c r="C249" s="123"/>
      <c r="D249" s="123"/>
      <c r="E249" s="123"/>
      <c r="F249" s="123"/>
      <c r="G249" s="127" t="s">
        <v>69</v>
      </c>
      <c r="H249" s="128">
        <v>2012</v>
      </c>
      <c r="I249" s="128" t="s">
        <v>97</v>
      </c>
      <c r="J249" s="128">
        <f t="shared" si="6"/>
        <v>2</v>
      </c>
      <c r="K249" s="128" t="s">
        <v>99</v>
      </c>
      <c r="L249" s="144" t="s">
        <v>30</v>
      </c>
      <c r="M249" s="129" t="s">
        <v>31</v>
      </c>
      <c r="N249" s="129" t="s">
        <v>32</v>
      </c>
      <c r="O249" s="129" t="s">
        <v>32</v>
      </c>
      <c r="P249" s="129" t="str">
        <f t="shared" si="7"/>
        <v>Y</v>
      </c>
      <c r="Q249" s="132" t="s">
        <v>1298</v>
      </c>
      <c r="R249" s="128">
        <v>54.25</v>
      </c>
      <c r="S249" s="130"/>
      <c r="T249" s="130" t="s">
        <v>31</v>
      </c>
      <c r="U249" s="131"/>
    </row>
    <row r="250" spans="1:21" ht="15.75" hidden="1" thickBot="1">
      <c r="A250" s="123">
        <v>1049</v>
      </c>
      <c r="B250" s="123"/>
      <c r="C250" s="123"/>
      <c r="D250" s="123"/>
      <c r="E250" s="123"/>
      <c r="F250" s="123"/>
      <c r="G250" s="127" t="s">
        <v>69</v>
      </c>
      <c r="H250" s="128">
        <v>2012</v>
      </c>
      <c r="I250" s="128" t="s">
        <v>97</v>
      </c>
      <c r="J250" s="128">
        <f t="shared" si="6"/>
        <v>2</v>
      </c>
      <c r="K250" s="128" t="s">
        <v>1266</v>
      </c>
      <c r="L250" s="128" t="s">
        <v>40</v>
      </c>
      <c r="M250" s="129" t="s">
        <v>31</v>
      </c>
      <c r="N250" s="129" t="s">
        <v>28</v>
      </c>
      <c r="O250" s="129" t="s">
        <v>28</v>
      </c>
      <c r="P250" s="129" t="str">
        <f t="shared" si="7"/>
        <v>N/A</v>
      </c>
      <c r="Q250" s="128" t="s">
        <v>1299</v>
      </c>
      <c r="R250" s="128">
        <v>45.4</v>
      </c>
      <c r="S250" s="130"/>
      <c r="T250" s="130" t="s">
        <v>31</v>
      </c>
      <c r="U250" s="131"/>
    </row>
    <row r="251" spans="1:21" ht="15.75" hidden="1" thickBot="1">
      <c r="A251" s="123">
        <v>1050</v>
      </c>
      <c r="B251" s="123"/>
      <c r="C251" s="123"/>
      <c r="D251" s="123"/>
      <c r="E251" s="123"/>
      <c r="F251" s="123"/>
      <c r="G251" s="127" t="s">
        <v>69</v>
      </c>
      <c r="H251" s="128">
        <v>2012</v>
      </c>
      <c r="I251" s="128" t="s">
        <v>100</v>
      </c>
      <c r="J251" s="128">
        <f t="shared" si="6"/>
        <v>2</v>
      </c>
      <c r="K251" s="128" t="s">
        <v>1267</v>
      </c>
      <c r="L251" s="128" t="s">
        <v>40</v>
      </c>
      <c r="M251" s="129" t="s">
        <v>31</v>
      </c>
      <c r="N251" s="129" t="s">
        <v>28</v>
      </c>
      <c r="O251" s="129" t="s">
        <v>28</v>
      </c>
      <c r="P251" s="129" t="str">
        <f t="shared" si="7"/>
        <v>N/A</v>
      </c>
      <c r="Q251" s="128" t="s">
        <v>1300</v>
      </c>
      <c r="R251" s="128">
        <v>4.9000000000000004</v>
      </c>
      <c r="S251" s="130"/>
      <c r="T251" s="130" t="s">
        <v>31</v>
      </c>
      <c r="U251" s="131"/>
    </row>
    <row r="252" spans="1:21" ht="15.75" hidden="1" thickBot="1">
      <c r="A252" s="123">
        <v>1050</v>
      </c>
      <c r="B252" s="123"/>
      <c r="C252" s="123"/>
      <c r="D252" s="123"/>
      <c r="E252" s="123"/>
      <c r="F252" s="123"/>
      <c r="G252" s="127" t="s">
        <v>69</v>
      </c>
      <c r="H252" s="128">
        <v>2012</v>
      </c>
      <c r="I252" s="128" t="s">
        <v>100</v>
      </c>
      <c r="J252" s="128">
        <f t="shared" si="6"/>
        <v>2</v>
      </c>
      <c r="K252" s="128" t="s">
        <v>102</v>
      </c>
      <c r="L252" s="128" t="s">
        <v>40</v>
      </c>
      <c r="M252" s="129" t="s">
        <v>31</v>
      </c>
      <c r="N252" s="129" t="s">
        <v>32</v>
      </c>
      <c r="O252" s="129" t="s">
        <v>32</v>
      </c>
      <c r="P252" s="129" t="str">
        <f t="shared" si="7"/>
        <v>Y</v>
      </c>
      <c r="Q252" s="130"/>
      <c r="R252" s="128">
        <v>93.71</v>
      </c>
      <c r="S252" s="130"/>
      <c r="T252" s="130" t="s">
        <v>31</v>
      </c>
      <c r="U252" s="131"/>
    </row>
    <row r="253" spans="1:21" ht="15.75" hidden="1" thickBot="1">
      <c r="A253" s="45">
        <v>1041</v>
      </c>
      <c r="B253" s="123"/>
      <c r="C253" s="123"/>
      <c r="D253" s="123"/>
      <c r="E253" s="123"/>
      <c r="F253" s="123"/>
      <c r="G253" s="127" t="s">
        <v>69</v>
      </c>
      <c r="H253" s="128">
        <v>2014</v>
      </c>
      <c r="I253" s="128" t="s">
        <v>70</v>
      </c>
      <c r="J253" s="128">
        <f t="shared" si="6"/>
        <v>1</v>
      </c>
      <c r="K253" s="128" t="s">
        <v>75</v>
      </c>
      <c r="L253" s="128" t="s">
        <v>40</v>
      </c>
      <c r="M253" s="129" t="s">
        <v>31</v>
      </c>
      <c r="N253" s="129" t="s">
        <v>32</v>
      </c>
      <c r="O253" s="129" t="s">
        <v>32</v>
      </c>
      <c r="P253" s="129" t="str">
        <f t="shared" si="7"/>
        <v>Y</v>
      </c>
      <c r="Q253" s="130"/>
      <c r="R253" s="128">
        <v>98.43</v>
      </c>
      <c r="S253" s="130"/>
      <c r="T253" s="130" t="s">
        <v>31</v>
      </c>
      <c r="U253" s="131"/>
    </row>
    <row r="254" spans="1:21" ht="15.75" hidden="1" thickBot="1">
      <c r="A254" s="45">
        <v>1042</v>
      </c>
      <c r="B254" s="123"/>
      <c r="C254" s="123"/>
      <c r="D254" s="123"/>
      <c r="E254" s="123"/>
      <c r="F254" s="123"/>
      <c r="G254" s="127" t="s">
        <v>69</v>
      </c>
      <c r="H254" s="128">
        <v>2014</v>
      </c>
      <c r="I254" s="128" t="s">
        <v>76</v>
      </c>
      <c r="J254" s="128">
        <f t="shared" si="6"/>
        <v>3</v>
      </c>
      <c r="K254" s="145" t="s">
        <v>1301</v>
      </c>
      <c r="L254" s="128" t="s">
        <v>30</v>
      </c>
      <c r="M254" s="129" t="s">
        <v>1065</v>
      </c>
      <c r="N254" s="129" t="s">
        <v>28</v>
      </c>
      <c r="O254" s="129" t="s">
        <v>28</v>
      </c>
      <c r="P254" s="129" t="str">
        <f t="shared" si="7"/>
        <v>N/A</v>
      </c>
      <c r="Q254" s="128" t="s">
        <v>1302</v>
      </c>
      <c r="R254" s="128">
        <v>40.630000000000003</v>
      </c>
      <c r="S254" s="130"/>
      <c r="T254" s="130" t="s">
        <v>1202</v>
      </c>
      <c r="U254" s="131" t="s">
        <v>1303</v>
      </c>
    </row>
    <row r="255" spans="1:21" ht="15.75" hidden="1" thickBot="1">
      <c r="A255" s="45">
        <v>1042</v>
      </c>
      <c r="B255" s="123"/>
      <c r="C255" s="123"/>
      <c r="D255" s="123"/>
      <c r="E255" s="123"/>
      <c r="F255" s="123"/>
      <c r="G255" s="127" t="s">
        <v>69</v>
      </c>
      <c r="H255" s="128">
        <v>2014</v>
      </c>
      <c r="I255" s="128" t="s">
        <v>76</v>
      </c>
      <c r="J255" s="128">
        <f t="shared" si="6"/>
        <v>3</v>
      </c>
      <c r="K255" s="128" t="s">
        <v>78</v>
      </c>
      <c r="L255" s="128" t="s">
        <v>40</v>
      </c>
      <c r="M255" s="129" t="s">
        <v>31</v>
      </c>
      <c r="N255" s="129" t="s">
        <v>32</v>
      </c>
      <c r="O255" s="129" t="s">
        <v>32</v>
      </c>
      <c r="P255" s="129" t="str">
        <f t="shared" si="7"/>
        <v>Y</v>
      </c>
      <c r="Q255" s="130"/>
      <c r="R255" s="128">
        <v>54.54</v>
      </c>
      <c r="S255" s="130"/>
      <c r="T255" s="130" t="s">
        <v>31</v>
      </c>
      <c r="U255" s="131"/>
    </row>
    <row r="256" spans="1:21" ht="15.75" hidden="1" thickBot="1">
      <c r="A256" s="45">
        <v>1042</v>
      </c>
      <c r="B256" s="123"/>
      <c r="C256" s="123"/>
      <c r="D256" s="123"/>
      <c r="E256" s="123"/>
      <c r="F256" s="123"/>
      <c r="G256" s="127" t="s">
        <v>69</v>
      </c>
      <c r="H256" s="128">
        <v>2014</v>
      </c>
      <c r="I256" s="128" t="s">
        <v>76</v>
      </c>
      <c r="J256" s="128">
        <f t="shared" si="6"/>
        <v>3</v>
      </c>
      <c r="K256" s="128" t="s">
        <v>1250</v>
      </c>
      <c r="L256" s="128" t="s">
        <v>40</v>
      </c>
      <c r="M256" s="129" t="s">
        <v>31</v>
      </c>
      <c r="N256" s="129" t="s">
        <v>28</v>
      </c>
      <c r="O256" s="129" t="s">
        <v>28</v>
      </c>
      <c r="P256" s="129" t="str">
        <f t="shared" si="7"/>
        <v>N/A</v>
      </c>
      <c r="Q256" s="128" t="s">
        <v>1304</v>
      </c>
      <c r="R256" s="128">
        <v>4.49</v>
      </c>
      <c r="S256" s="130"/>
      <c r="T256" s="130" t="s">
        <v>31</v>
      </c>
      <c r="U256" s="131"/>
    </row>
    <row r="257" spans="1:21" ht="26.25" hidden="1" thickBot="1">
      <c r="A257" s="45">
        <v>1043</v>
      </c>
      <c r="B257" s="123"/>
      <c r="C257" s="123"/>
      <c r="D257" s="123"/>
      <c r="E257" s="123"/>
      <c r="F257" s="123"/>
      <c r="G257" s="127" t="s">
        <v>69</v>
      </c>
      <c r="H257" s="128">
        <v>2014</v>
      </c>
      <c r="I257" s="128" t="s">
        <v>79</v>
      </c>
      <c r="J257" s="128">
        <f t="shared" si="6"/>
        <v>1</v>
      </c>
      <c r="K257" s="128" t="s">
        <v>81</v>
      </c>
      <c r="L257" s="128" t="s">
        <v>30</v>
      </c>
      <c r="M257" s="129" t="s">
        <v>1065</v>
      </c>
      <c r="N257" s="129" t="s">
        <v>32</v>
      </c>
      <c r="O257" s="129" t="s">
        <v>32</v>
      </c>
      <c r="P257" s="129" t="str">
        <f t="shared" si="7"/>
        <v>Y</v>
      </c>
      <c r="Q257" s="132" t="s">
        <v>1260</v>
      </c>
      <c r="R257" s="128">
        <v>95.4</v>
      </c>
      <c r="S257" s="130"/>
      <c r="T257" s="130" t="s">
        <v>1305</v>
      </c>
      <c r="U257" s="131"/>
    </row>
    <row r="258" spans="1:21" ht="15.75" hidden="1" thickBot="1">
      <c r="A258" s="45">
        <v>1044</v>
      </c>
      <c r="B258" s="123"/>
      <c r="C258" s="123"/>
      <c r="D258" s="123"/>
      <c r="E258" s="123"/>
      <c r="F258" s="123"/>
      <c r="G258" s="127" t="s">
        <v>69</v>
      </c>
      <c r="H258" s="128">
        <v>2014</v>
      </c>
      <c r="I258" s="128" t="s">
        <v>82</v>
      </c>
      <c r="J258" s="128">
        <f t="shared" ref="J258:J321" si="8">COUNTIF(A$2:A$2215, A258)</f>
        <v>2</v>
      </c>
      <c r="K258" s="128" t="s">
        <v>84</v>
      </c>
      <c r="L258" s="128" t="s">
        <v>30</v>
      </c>
      <c r="M258" s="129" t="s">
        <v>31</v>
      </c>
      <c r="N258" s="129" t="s">
        <v>32</v>
      </c>
      <c r="O258" s="129" t="s">
        <v>32</v>
      </c>
      <c r="P258" s="129" t="str">
        <f t="shared" si="7"/>
        <v>Y</v>
      </c>
      <c r="Q258" s="130"/>
      <c r="R258" s="128">
        <v>55.5</v>
      </c>
      <c r="S258" s="130"/>
      <c r="T258" s="130" t="s">
        <v>31</v>
      </c>
      <c r="U258" s="131"/>
    </row>
    <row r="259" spans="1:21" ht="15.75" hidden="1" thickBot="1">
      <c r="A259" s="45">
        <v>1044</v>
      </c>
      <c r="B259" s="123"/>
      <c r="C259" s="123"/>
      <c r="D259" s="123"/>
      <c r="E259" s="123"/>
      <c r="F259" s="123"/>
      <c r="G259" s="127" t="s">
        <v>69</v>
      </c>
      <c r="H259" s="128">
        <v>2014</v>
      </c>
      <c r="I259" s="128" t="s">
        <v>82</v>
      </c>
      <c r="J259" s="128">
        <f t="shared" si="8"/>
        <v>2</v>
      </c>
      <c r="K259" s="128" t="s">
        <v>1306</v>
      </c>
      <c r="L259" s="128" t="s">
        <v>30</v>
      </c>
      <c r="M259" s="129" t="s">
        <v>31</v>
      </c>
      <c r="N259" s="129" t="s">
        <v>28</v>
      </c>
      <c r="O259" s="129" t="s">
        <v>28</v>
      </c>
      <c r="P259" s="129" t="str">
        <f t="shared" ref="P259:P322" si="9">IF(O259="N", "N/A", IF(AND(N259="N",  O259="Y"), "N", IF(AND(O259="Y", N259="Y"), "Y", "")))</f>
        <v>N/A</v>
      </c>
      <c r="Q259" s="128" t="s">
        <v>1307</v>
      </c>
      <c r="R259" s="128">
        <v>44.16</v>
      </c>
      <c r="S259" s="130"/>
      <c r="T259" s="130" t="s">
        <v>31</v>
      </c>
      <c r="U259" s="131"/>
    </row>
    <row r="260" spans="1:21" ht="15.75" hidden="1" thickBot="1">
      <c r="A260" s="123">
        <v>1045</v>
      </c>
      <c r="B260" s="123"/>
      <c r="C260" s="123"/>
      <c r="D260" s="123"/>
      <c r="E260" s="123"/>
      <c r="F260" s="123"/>
      <c r="G260" s="127" t="s">
        <v>69</v>
      </c>
      <c r="H260" s="128">
        <v>2014</v>
      </c>
      <c r="I260" s="128" t="s">
        <v>85</v>
      </c>
      <c r="J260" s="128">
        <f t="shared" si="8"/>
        <v>4</v>
      </c>
      <c r="K260" s="128" t="s">
        <v>1254</v>
      </c>
      <c r="L260" s="128" t="s">
        <v>30</v>
      </c>
      <c r="M260" s="129" t="s">
        <v>31</v>
      </c>
      <c r="N260" s="129" t="s">
        <v>28</v>
      </c>
      <c r="O260" s="129" t="s">
        <v>28</v>
      </c>
      <c r="P260" s="129" t="str">
        <f t="shared" si="9"/>
        <v>N/A</v>
      </c>
      <c r="Q260" s="128" t="s">
        <v>1308</v>
      </c>
      <c r="R260" s="128">
        <v>26.46</v>
      </c>
      <c r="S260" s="128">
        <v>49.81</v>
      </c>
      <c r="T260" s="130" t="s">
        <v>31</v>
      </c>
      <c r="U260" s="131"/>
    </row>
    <row r="261" spans="1:21" ht="15.75" hidden="1" thickBot="1">
      <c r="A261" s="123">
        <v>1045</v>
      </c>
      <c r="B261" s="123"/>
      <c r="C261" s="123"/>
      <c r="D261" s="123"/>
      <c r="E261" s="123"/>
      <c r="F261" s="123"/>
      <c r="G261" s="127" t="s">
        <v>69</v>
      </c>
      <c r="H261" s="128">
        <v>2014</v>
      </c>
      <c r="I261" s="128" t="s">
        <v>85</v>
      </c>
      <c r="J261" s="128">
        <f t="shared" si="8"/>
        <v>4</v>
      </c>
      <c r="K261" s="128" t="s">
        <v>1279</v>
      </c>
      <c r="L261" s="128" t="s">
        <v>40</v>
      </c>
      <c r="M261" s="129" t="s">
        <v>31</v>
      </c>
      <c r="N261" s="129" t="s">
        <v>28</v>
      </c>
      <c r="O261" s="129" t="s">
        <v>28</v>
      </c>
      <c r="P261" s="129" t="str">
        <f t="shared" si="9"/>
        <v>N/A</v>
      </c>
      <c r="Q261" s="128" t="s">
        <v>1309</v>
      </c>
      <c r="R261" s="128">
        <v>18.41</v>
      </c>
      <c r="S261" s="130"/>
      <c r="T261" s="130" t="s">
        <v>31</v>
      </c>
      <c r="U261" s="131"/>
    </row>
    <row r="262" spans="1:21" ht="15.75" hidden="1" thickBot="1">
      <c r="A262" s="123">
        <v>1045</v>
      </c>
      <c r="B262" s="123"/>
      <c r="C262" s="123"/>
      <c r="D262" s="123"/>
      <c r="E262" s="123"/>
      <c r="F262" s="123"/>
      <c r="G262" s="127" t="s">
        <v>69</v>
      </c>
      <c r="H262" s="128">
        <v>2014</v>
      </c>
      <c r="I262" s="128" t="s">
        <v>85</v>
      </c>
      <c r="J262" s="128">
        <f t="shared" si="8"/>
        <v>4</v>
      </c>
      <c r="K262" s="128" t="s">
        <v>88</v>
      </c>
      <c r="L262" s="128" t="s">
        <v>40</v>
      </c>
      <c r="M262" s="129" t="s">
        <v>31</v>
      </c>
      <c r="N262" s="129" t="s">
        <v>32</v>
      </c>
      <c r="O262" s="129" t="s">
        <v>28</v>
      </c>
      <c r="P262" s="129" t="str">
        <f t="shared" si="9"/>
        <v>N/A</v>
      </c>
      <c r="Q262" s="130"/>
      <c r="R262" s="128">
        <v>29.15</v>
      </c>
      <c r="S262" s="128">
        <v>50.19</v>
      </c>
      <c r="T262" s="130" t="s">
        <v>31</v>
      </c>
      <c r="U262" s="131"/>
    </row>
    <row r="263" spans="1:21" ht="15.75" hidden="1" thickBot="1">
      <c r="A263" s="123">
        <v>1045</v>
      </c>
      <c r="B263" s="123"/>
      <c r="C263" s="123"/>
      <c r="D263" s="123"/>
      <c r="E263" s="123"/>
      <c r="F263" s="123"/>
      <c r="G263" s="127" t="s">
        <v>69</v>
      </c>
      <c r="H263" s="128">
        <v>2014</v>
      </c>
      <c r="I263" s="128" t="s">
        <v>85</v>
      </c>
      <c r="J263" s="128">
        <f t="shared" si="8"/>
        <v>4</v>
      </c>
      <c r="K263" s="128" t="s">
        <v>1310</v>
      </c>
      <c r="L263" s="128" t="s">
        <v>30</v>
      </c>
      <c r="M263" s="129" t="s">
        <v>31</v>
      </c>
      <c r="N263" s="129" t="s">
        <v>28</v>
      </c>
      <c r="O263" s="129" t="s">
        <v>28</v>
      </c>
      <c r="P263" s="129" t="str">
        <f t="shared" si="9"/>
        <v>N/A</v>
      </c>
      <c r="Q263" s="128" t="s">
        <v>1311</v>
      </c>
      <c r="R263" s="128">
        <v>25.8</v>
      </c>
      <c r="S263" s="130"/>
      <c r="T263" s="130" t="s">
        <v>31</v>
      </c>
      <c r="U263" s="131"/>
    </row>
    <row r="264" spans="1:21" ht="15.75" thickBot="1">
      <c r="A264" s="45">
        <v>1145</v>
      </c>
      <c r="B264" s="123"/>
      <c r="C264" s="123"/>
      <c r="D264" s="123"/>
      <c r="E264" s="123"/>
      <c r="F264" s="123"/>
      <c r="G264" s="127" t="s">
        <v>110</v>
      </c>
      <c r="H264" s="128">
        <v>2000</v>
      </c>
      <c r="I264" s="128" t="s">
        <v>124</v>
      </c>
      <c r="J264" s="128">
        <f t="shared" si="8"/>
        <v>2</v>
      </c>
      <c r="K264" s="128" t="s">
        <v>1312</v>
      </c>
      <c r="L264" s="128" t="s">
        <v>40</v>
      </c>
      <c r="M264" s="129" t="s">
        <v>201</v>
      </c>
      <c r="N264" s="129" t="s">
        <v>28</v>
      </c>
      <c r="O264" s="129"/>
      <c r="P264" s="129" t="str">
        <f t="shared" si="9"/>
        <v/>
      </c>
      <c r="Q264" s="132" t="s">
        <v>1313</v>
      </c>
      <c r="R264" s="128">
        <v>47.8</v>
      </c>
      <c r="S264" s="130"/>
      <c r="T264" s="130" t="s">
        <v>998</v>
      </c>
      <c r="U264" s="131"/>
    </row>
    <row r="265" spans="1:21" ht="15.75" thickBot="1">
      <c r="A265" s="45">
        <v>1145</v>
      </c>
      <c r="B265" s="123"/>
      <c r="C265" s="123"/>
      <c r="D265" s="123"/>
      <c r="E265" s="123"/>
      <c r="F265" s="123"/>
      <c r="G265" s="127" t="s">
        <v>110</v>
      </c>
      <c r="H265" s="128">
        <v>2000</v>
      </c>
      <c r="I265" s="128" t="s">
        <v>124</v>
      </c>
      <c r="J265" s="128">
        <f t="shared" si="8"/>
        <v>2</v>
      </c>
      <c r="K265" s="128" t="s">
        <v>153</v>
      </c>
      <c r="L265" s="128" t="s">
        <v>30</v>
      </c>
      <c r="M265" s="129" t="s">
        <v>31</v>
      </c>
      <c r="N265" s="129" t="s">
        <v>32</v>
      </c>
      <c r="O265" s="129"/>
      <c r="P265" s="129" t="str">
        <f t="shared" si="9"/>
        <v/>
      </c>
      <c r="Q265" s="130"/>
      <c r="R265" s="128">
        <v>52.1</v>
      </c>
      <c r="S265" s="130"/>
      <c r="T265" s="130"/>
      <c r="U265" s="131"/>
    </row>
    <row r="266" spans="1:21" ht="15.75" thickBot="1">
      <c r="A266" s="45">
        <v>1146</v>
      </c>
      <c r="B266" s="123"/>
      <c r="C266" s="123"/>
      <c r="D266" s="123"/>
      <c r="E266" s="123"/>
      <c r="F266" s="123"/>
      <c r="G266" s="127" t="s">
        <v>110</v>
      </c>
      <c r="H266" s="128">
        <v>2000</v>
      </c>
      <c r="I266" s="128" t="s">
        <v>154</v>
      </c>
      <c r="J266" s="128">
        <f t="shared" si="8"/>
        <v>5</v>
      </c>
      <c r="K266" s="128" t="s">
        <v>1314</v>
      </c>
      <c r="L266" s="128" t="s">
        <v>30</v>
      </c>
      <c r="M266" s="129" t="s">
        <v>201</v>
      </c>
      <c r="N266" s="129" t="s">
        <v>28</v>
      </c>
      <c r="O266" s="129"/>
      <c r="P266" s="129" t="str">
        <f t="shared" si="9"/>
        <v/>
      </c>
      <c r="Q266" s="128" t="s">
        <v>1315</v>
      </c>
      <c r="R266" s="128">
        <v>16.399999999999999</v>
      </c>
      <c r="S266" s="130"/>
      <c r="T266" s="130" t="s">
        <v>1316</v>
      </c>
      <c r="U266" s="146"/>
    </row>
    <row r="267" spans="1:21" ht="15.75" thickBot="1">
      <c r="A267" s="45">
        <v>1146</v>
      </c>
      <c r="B267" s="123"/>
      <c r="C267" s="123"/>
      <c r="D267" s="123"/>
      <c r="E267" s="123"/>
      <c r="F267" s="123"/>
      <c r="G267" s="127" t="s">
        <v>110</v>
      </c>
      <c r="H267" s="128">
        <v>2000</v>
      </c>
      <c r="I267" s="128" t="s">
        <v>154</v>
      </c>
      <c r="J267" s="128">
        <f t="shared" si="8"/>
        <v>5</v>
      </c>
      <c r="K267" s="128" t="s">
        <v>165</v>
      </c>
      <c r="L267" s="128" t="s">
        <v>30</v>
      </c>
      <c r="M267" s="129" t="s">
        <v>34</v>
      </c>
      <c r="N267" s="129" t="s">
        <v>32</v>
      </c>
      <c r="O267" s="129"/>
      <c r="P267" s="129" t="str">
        <f t="shared" si="9"/>
        <v/>
      </c>
      <c r="Q267" s="130"/>
      <c r="R267" s="128">
        <v>44.6</v>
      </c>
      <c r="S267" s="128">
        <v>56.12</v>
      </c>
      <c r="T267" s="130"/>
      <c r="U267" s="131"/>
    </row>
    <row r="268" spans="1:21" ht="15.75" thickBot="1">
      <c r="A268" s="45">
        <v>1146</v>
      </c>
      <c r="B268" s="123"/>
      <c r="C268" s="123"/>
      <c r="D268" s="123"/>
      <c r="E268" s="123"/>
      <c r="F268" s="123"/>
      <c r="G268" s="127" t="s">
        <v>110</v>
      </c>
      <c r="H268" s="128">
        <v>2000</v>
      </c>
      <c r="I268" s="128" t="s">
        <v>154</v>
      </c>
      <c r="J268" s="128">
        <f t="shared" si="8"/>
        <v>5</v>
      </c>
      <c r="K268" s="128" t="s">
        <v>1317</v>
      </c>
      <c r="L268" s="128" t="s">
        <v>30</v>
      </c>
      <c r="M268" s="129" t="s">
        <v>201</v>
      </c>
      <c r="N268" s="129" t="s">
        <v>28</v>
      </c>
      <c r="O268" s="129"/>
      <c r="P268" s="129" t="str">
        <f t="shared" si="9"/>
        <v/>
      </c>
      <c r="Q268" s="128" t="s">
        <v>1318</v>
      </c>
      <c r="R268" s="128">
        <v>3.6</v>
      </c>
      <c r="S268" s="130"/>
      <c r="T268" s="130" t="s">
        <v>998</v>
      </c>
      <c r="U268" s="131"/>
    </row>
    <row r="269" spans="1:21" ht="15.75" thickBot="1">
      <c r="A269" s="45">
        <v>1146</v>
      </c>
      <c r="B269" s="123"/>
      <c r="C269" s="123"/>
      <c r="D269" s="123"/>
      <c r="E269" s="123"/>
      <c r="F269" s="123"/>
      <c r="G269" s="127" t="s">
        <v>110</v>
      </c>
      <c r="H269" s="128">
        <v>2000</v>
      </c>
      <c r="I269" s="128" t="s">
        <v>154</v>
      </c>
      <c r="J269" s="128">
        <f t="shared" si="8"/>
        <v>5</v>
      </c>
      <c r="K269" s="128" t="s">
        <v>127</v>
      </c>
      <c r="L269" s="128" t="s">
        <v>40</v>
      </c>
      <c r="M269" s="129" t="s">
        <v>31</v>
      </c>
      <c r="N269" s="129" t="s">
        <v>28</v>
      </c>
      <c r="O269" s="129"/>
      <c r="P269" s="129" t="str">
        <f t="shared" si="9"/>
        <v/>
      </c>
      <c r="Q269" s="130"/>
      <c r="R269" s="128">
        <v>26.1</v>
      </c>
      <c r="S269" s="128">
        <v>43.88</v>
      </c>
      <c r="T269" s="130"/>
      <c r="U269" s="146"/>
    </row>
    <row r="270" spans="1:21" ht="15.75" thickBot="1">
      <c r="A270" s="45">
        <v>1146</v>
      </c>
      <c r="B270" s="123"/>
      <c r="C270" s="123"/>
      <c r="D270" s="123"/>
      <c r="E270" s="123"/>
      <c r="F270" s="123"/>
      <c r="G270" s="127" t="s">
        <v>110</v>
      </c>
      <c r="H270" s="128">
        <v>2000</v>
      </c>
      <c r="I270" s="128" t="s">
        <v>154</v>
      </c>
      <c r="J270" s="128">
        <f t="shared" si="8"/>
        <v>5</v>
      </c>
      <c r="K270" s="128" t="s">
        <v>1319</v>
      </c>
      <c r="L270" s="128" t="s">
        <v>30</v>
      </c>
      <c r="M270" s="129" t="s">
        <v>201</v>
      </c>
      <c r="N270" s="129" t="s">
        <v>28</v>
      </c>
      <c r="O270" s="129"/>
      <c r="P270" s="129" t="str">
        <f t="shared" si="9"/>
        <v/>
      </c>
      <c r="Q270" s="128" t="s">
        <v>1320</v>
      </c>
      <c r="R270" s="128">
        <v>9.1</v>
      </c>
      <c r="S270" s="130"/>
      <c r="T270" s="130"/>
      <c r="U270" s="131"/>
    </row>
    <row r="271" spans="1:21" ht="15.75" thickBot="1">
      <c r="A271" s="45">
        <v>1147</v>
      </c>
      <c r="B271" s="123"/>
      <c r="C271" s="123"/>
      <c r="D271" s="123"/>
      <c r="E271" s="123"/>
      <c r="F271" s="123"/>
      <c r="G271" s="127" t="s">
        <v>110</v>
      </c>
      <c r="H271" s="128">
        <v>2000</v>
      </c>
      <c r="I271" s="128" t="s">
        <v>76</v>
      </c>
      <c r="J271" s="128">
        <f t="shared" si="8"/>
        <v>1</v>
      </c>
      <c r="K271" s="128" t="s">
        <v>156</v>
      </c>
      <c r="L271" s="128" t="s">
        <v>40</v>
      </c>
      <c r="M271" s="129" t="s">
        <v>31</v>
      </c>
      <c r="N271" s="129" t="s">
        <v>32</v>
      </c>
      <c r="O271" s="129"/>
      <c r="P271" s="129" t="str">
        <f t="shared" si="9"/>
        <v/>
      </c>
      <c r="Q271" s="130"/>
      <c r="R271" s="128">
        <v>100</v>
      </c>
      <c r="S271" s="130"/>
      <c r="T271" s="130"/>
      <c r="U271" s="131"/>
    </row>
    <row r="272" spans="1:21" ht="15.75" thickBot="1">
      <c r="A272" s="45">
        <v>1148</v>
      </c>
      <c r="B272" s="123"/>
      <c r="C272" s="123"/>
      <c r="D272" s="123"/>
      <c r="E272" s="123"/>
      <c r="F272" s="123"/>
      <c r="G272" s="127" t="s">
        <v>110</v>
      </c>
      <c r="H272" s="128">
        <v>2000</v>
      </c>
      <c r="I272" s="128" t="s">
        <v>130</v>
      </c>
      <c r="J272" s="128">
        <f t="shared" si="8"/>
        <v>2</v>
      </c>
      <c r="K272" s="128" t="s">
        <v>166</v>
      </c>
      <c r="L272" s="128" t="s">
        <v>40</v>
      </c>
      <c r="M272" s="129" t="s">
        <v>31</v>
      </c>
      <c r="N272" s="129" t="s">
        <v>32</v>
      </c>
      <c r="O272" s="129"/>
      <c r="P272" s="129" t="str">
        <f t="shared" si="9"/>
        <v/>
      </c>
      <c r="Q272" s="130"/>
      <c r="R272" s="128">
        <v>56.1</v>
      </c>
      <c r="S272" s="130"/>
      <c r="T272" s="130"/>
      <c r="U272" s="131"/>
    </row>
    <row r="273" spans="1:21" ht="64.5" thickBot="1">
      <c r="A273" s="45">
        <v>1148</v>
      </c>
      <c r="B273" s="123"/>
      <c r="C273" s="123"/>
      <c r="D273" s="123"/>
      <c r="E273" s="123"/>
      <c r="F273" s="123"/>
      <c r="G273" s="127" t="s">
        <v>110</v>
      </c>
      <c r="H273" s="128">
        <v>2000</v>
      </c>
      <c r="I273" s="128" t="s">
        <v>130</v>
      </c>
      <c r="J273" s="128">
        <f t="shared" si="8"/>
        <v>2</v>
      </c>
      <c r="K273" s="128" t="s">
        <v>1321</v>
      </c>
      <c r="L273" s="128" t="s">
        <v>40</v>
      </c>
      <c r="M273" s="129" t="s">
        <v>201</v>
      </c>
      <c r="N273" s="129" t="s">
        <v>28</v>
      </c>
      <c r="O273" s="129"/>
      <c r="P273" s="129" t="str">
        <f t="shared" si="9"/>
        <v/>
      </c>
      <c r="Q273" s="128" t="s">
        <v>1322</v>
      </c>
      <c r="R273" s="128">
        <v>43.8</v>
      </c>
      <c r="S273" s="130"/>
      <c r="T273" s="130" t="s">
        <v>1323</v>
      </c>
      <c r="U273" s="131"/>
    </row>
    <row r="274" spans="1:21" ht="15.75" thickBot="1">
      <c r="A274" s="45">
        <v>1149</v>
      </c>
      <c r="B274" s="123"/>
      <c r="C274" s="123"/>
      <c r="D274" s="123"/>
      <c r="E274" s="123"/>
      <c r="F274" s="123"/>
      <c r="G274" s="127" t="s">
        <v>110</v>
      </c>
      <c r="H274" s="128">
        <v>2000</v>
      </c>
      <c r="I274" s="128" t="s">
        <v>94</v>
      </c>
      <c r="J274" s="128">
        <f t="shared" si="8"/>
        <v>8</v>
      </c>
      <c r="K274" s="128" t="s">
        <v>1324</v>
      </c>
      <c r="L274" s="128" t="s">
        <v>30</v>
      </c>
      <c r="M274" s="129" t="s">
        <v>201</v>
      </c>
      <c r="N274" s="129" t="s">
        <v>28</v>
      </c>
      <c r="O274" s="129"/>
      <c r="P274" s="129" t="str">
        <f t="shared" si="9"/>
        <v/>
      </c>
      <c r="Q274" s="128" t="s">
        <v>1325</v>
      </c>
      <c r="R274" s="128">
        <v>1</v>
      </c>
      <c r="S274" s="130"/>
      <c r="T274" s="130" t="s">
        <v>998</v>
      </c>
      <c r="U274" s="131"/>
    </row>
    <row r="275" spans="1:21" ht="15.75" thickBot="1">
      <c r="A275" s="45">
        <v>1149</v>
      </c>
      <c r="B275" s="123"/>
      <c r="C275" s="123"/>
      <c r="D275" s="123"/>
      <c r="E275" s="123"/>
      <c r="F275" s="123"/>
      <c r="G275" s="127" t="s">
        <v>110</v>
      </c>
      <c r="H275" s="128">
        <v>2000</v>
      </c>
      <c r="I275" s="128" t="s">
        <v>94</v>
      </c>
      <c r="J275" s="128">
        <f t="shared" si="8"/>
        <v>8</v>
      </c>
      <c r="K275" s="128" t="s">
        <v>1326</v>
      </c>
      <c r="L275" s="128" t="s">
        <v>30</v>
      </c>
      <c r="M275" s="129" t="s">
        <v>201</v>
      </c>
      <c r="N275" s="129" t="s">
        <v>28</v>
      </c>
      <c r="O275" s="129"/>
      <c r="P275" s="129" t="str">
        <f t="shared" si="9"/>
        <v/>
      </c>
      <c r="Q275" s="128" t="s">
        <v>1327</v>
      </c>
      <c r="R275" s="128">
        <v>15.5</v>
      </c>
      <c r="S275" s="130"/>
      <c r="T275" s="130" t="s">
        <v>1015</v>
      </c>
      <c r="U275" s="131"/>
    </row>
    <row r="276" spans="1:21" ht="15.75" thickBot="1">
      <c r="A276" s="45">
        <v>1149</v>
      </c>
      <c r="B276" s="123"/>
      <c r="C276" s="123"/>
      <c r="D276" s="123"/>
      <c r="E276" s="123"/>
      <c r="F276" s="123"/>
      <c r="G276" s="127" t="s">
        <v>110</v>
      </c>
      <c r="H276" s="128">
        <v>2000</v>
      </c>
      <c r="I276" s="128" t="s">
        <v>94</v>
      </c>
      <c r="J276" s="128">
        <f t="shared" si="8"/>
        <v>8</v>
      </c>
      <c r="K276" s="128" t="s">
        <v>1328</v>
      </c>
      <c r="L276" s="128" t="s">
        <v>30</v>
      </c>
      <c r="M276" s="129" t="s">
        <v>1003</v>
      </c>
      <c r="N276" s="129" t="s">
        <v>28</v>
      </c>
      <c r="O276" s="129"/>
      <c r="P276" s="129" t="str">
        <f t="shared" si="9"/>
        <v/>
      </c>
      <c r="Q276" s="128" t="s">
        <v>1004</v>
      </c>
      <c r="R276" s="128">
        <v>2.2999999999999998</v>
      </c>
      <c r="S276" s="130"/>
      <c r="T276" s="130"/>
      <c r="U276" s="131"/>
    </row>
    <row r="277" spans="1:21" ht="15.75" thickBot="1">
      <c r="A277" s="45">
        <v>1149</v>
      </c>
      <c r="B277" s="123"/>
      <c r="C277" s="123"/>
      <c r="D277" s="123"/>
      <c r="E277" s="123"/>
      <c r="F277" s="123"/>
      <c r="G277" s="127" t="s">
        <v>110</v>
      </c>
      <c r="H277" s="128">
        <v>2000</v>
      </c>
      <c r="I277" s="128" t="s">
        <v>94</v>
      </c>
      <c r="J277" s="128">
        <f t="shared" si="8"/>
        <v>8</v>
      </c>
      <c r="K277" s="128" t="s">
        <v>1329</v>
      </c>
      <c r="L277" s="128" t="s">
        <v>30</v>
      </c>
      <c r="M277" s="129" t="s">
        <v>201</v>
      </c>
      <c r="N277" s="129" t="s">
        <v>28</v>
      </c>
      <c r="O277" s="129"/>
      <c r="P277" s="129" t="str">
        <f t="shared" si="9"/>
        <v/>
      </c>
      <c r="Q277" s="128" t="s">
        <v>1330</v>
      </c>
      <c r="R277" s="128">
        <v>4.2</v>
      </c>
      <c r="S277" s="130"/>
      <c r="T277" s="130" t="s">
        <v>1331</v>
      </c>
      <c r="U277" s="131"/>
    </row>
    <row r="278" spans="1:21" ht="15.75" thickBot="1">
      <c r="A278" s="45">
        <v>1149</v>
      </c>
      <c r="B278" s="123"/>
      <c r="C278" s="123"/>
      <c r="D278" s="123"/>
      <c r="E278" s="123"/>
      <c r="F278" s="123"/>
      <c r="G278" s="127" t="s">
        <v>110</v>
      </c>
      <c r="H278" s="128">
        <v>2000</v>
      </c>
      <c r="I278" s="128" t="s">
        <v>94</v>
      </c>
      <c r="J278" s="128">
        <f t="shared" si="8"/>
        <v>8</v>
      </c>
      <c r="K278" s="128" t="s">
        <v>1332</v>
      </c>
      <c r="L278" s="128" t="s">
        <v>40</v>
      </c>
      <c r="M278" s="129" t="s">
        <v>1003</v>
      </c>
      <c r="N278" s="129" t="s">
        <v>28</v>
      </c>
      <c r="O278" s="129"/>
      <c r="P278" s="129" t="str">
        <f t="shared" si="9"/>
        <v/>
      </c>
      <c r="Q278" s="128" t="s">
        <v>1004</v>
      </c>
      <c r="R278" s="128">
        <v>3.5</v>
      </c>
      <c r="S278" s="130"/>
      <c r="T278" s="130"/>
      <c r="U278" s="131"/>
    </row>
    <row r="279" spans="1:21" ht="15.75" thickBot="1">
      <c r="A279" s="45">
        <v>1149</v>
      </c>
      <c r="B279" s="123"/>
      <c r="C279" s="123"/>
      <c r="D279" s="123"/>
      <c r="E279" s="123"/>
      <c r="F279" s="123"/>
      <c r="G279" s="127" t="s">
        <v>110</v>
      </c>
      <c r="H279" s="128">
        <v>2000</v>
      </c>
      <c r="I279" s="128" t="s">
        <v>94</v>
      </c>
      <c r="J279" s="128">
        <f t="shared" si="8"/>
        <v>8</v>
      </c>
      <c r="K279" s="128" t="s">
        <v>1333</v>
      </c>
      <c r="L279" s="128" t="s">
        <v>30</v>
      </c>
      <c r="M279" s="129" t="s">
        <v>201</v>
      </c>
      <c r="N279" s="129" t="s">
        <v>28</v>
      </c>
      <c r="O279" s="129"/>
      <c r="P279" s="129" t="str">
        <f t="shared" si="9"/>
        <v/>
      </c>
      <c r="Q279" s="128" t="s">
        <v>1334</v>
      </c>
      <c r="R279" s="128">
        <v>24.7</v>
      </c>
      <c r="S279" s="128">
        <v>29.43</v>
      </c>
      <c r="T279" s="130" t="s">
        <v>998</v>
      </c>
      <c r="U279" s="131"/>
    </row>
    <row r="280" spans="1:21" ht="15.75" thickBot="1">
      <c r="A280" s="45">
        <v>1149</v>
      </c>
      <c r="B280" s="123"/>
      <c r="C280" s="123"/>
      <c r="D280" s="123"/>
      <c r="E280" s="123"/>
      <c r="F280" s="123"/>
      <c r="G280" s="127" t="s">
        <v>110</v>
      </c>
      <c r="H280" s="128">
        <v>2000</v>
      </c>
      <c r="I280" s="128" t="s">
        <v>94</v>
      </c>
      <c r="J280" s="128">
        <f t="shared" si="8"/>
        <v>8</v>
      </c>
      <c r="K280" s="128" t="s">
        <v>157</v>
      </c>
      <c r="L280" s="128" t="s">
        <v>40</v>
      </c>
      <c r="M280" s="129" t="s">
        <v>31</v>
      </c>
      <c r="N280" s="129" t="s">
        <v>32</v>
      </c>
      <c r="O280" s="129"/>
      <c r="P280" s="129" t="str">
        <f t="shared" si="9"/>
        <v/>
      </c>
      <c r="Q280" s="130"/>
      <c r="R280" s="128">
        <v>46.3</v>
      </c>
      <c r="S280" s="128">
        <v>70.569999999999993</v>
      </c>
      <c r="T280" s="130"/>
      <c r="U280" s="131"/>
    </row>
    <row r="281" spans="1:21" ht="15.75" thickBot="1">
      <c r="A281" s="45">
        <v>1149</v>
      </c>
      <c r="B281" s="123"/>
      <c r="C281" s="123"/>
      <c r="D281" s="123"/>
      <c r="E281" s="123"/>
      <c r="F281" s="123"/>
      <c r="G281" s="127" t="s">
        <v>110</v>
      </c>
      <c r="H281" s="128">
        <v>2000</v>
      </c>
      <c r="I281" s="128" t="s">
        <v>94</v>
      </c>
      <c r="J281" s="128">
        <f t="shared" si="8"/>
        <v>8</v>
      </c>
      <c r="K281" s="128" t="s">
        <v>1335</v>
      </c>
      <c r="L281" s="128" t="s">
        <v>40</v>
      </c>
      <c r="M281" s="129" t="s">
        <v>1003</v>
      </c>
      <c r="N281" s="129" t="s">
        <v>28</v>
      </c>
      <c r="O281" s="129"/>
      <c r="P281" s="129" t="str">
        <f t="shared" si="9"/>
        <v/>
      </c>
      <c r="Q281" s="128" t="s">
        <v>1004</v>
      </c>
      <c r="R281" s="128">
        <v>2.1</v>
      </c>
      <c r="S281" s="130"/>
      <c r="T281" s="130"/>
      <c r="U281" s="131"/>
    </row>
    <row r="282" spans="1:21" ht="15.75" thickBot="1">
      <c r="A282" s="45">
        <v>1150</v>
      </c>
      <c r="B282" s="123"/>
      <c r="C282" s="123"/>
      <c r="D282" s="123"/>
      <c r="E282" s="123"/>
      <c r="F282" s="123"/>
      <c r="G282" s="127" t="s">
        <v>110</v>
      </c>
      <c r="H282" s="128">
        <v>2000</v>
      </c>
      <c r="I282" s="128" t="s">
        <v>134</v>
      </c>
      <c r="J282" s="128">
        <f t="shared" si="8"/>
        <v>5</v>
      </c>
      <c r="K282" s="128" t="s">
        <v>1336</v>
      </c>
      <c r="L282" s="128" t="s">
        <v>40</v>
      </c>
      <c r="M282" s="129" t="s">
        <v>201</v>
      </c>
      <c r="N282" s="129" t="s">
        <v>28</v>
      </c>
      <c r="O282" s="129"/>
      <c r="P282" s="129" t="str">
        <f t="shared" si="9"/>
        <v/>
      </c>
      <c r="Q282" s="128" t="s">
        <v>1337</v>
      </c>
      <c r="R282" s="128">
        <v>30.7</v>
      </c>
      <c r="S282" s="128">
        <v>21.16</v>
      </c>
      <c r="T282" s="130" t="s">
        <v>998</v>
      </c>
      <c r="U282" s="131"/>
    </row>
    <row r="283" spans="1:21" ht="15.75" thickBot="1">
      <c r="A283" s="45">
        <v>1150</v>
      </c>
      <c r="B283" s="123"/>
      <c r="C283" s="123"/>
      <c r="D283" s="123"/>
      <c r="E283" s="123"/>
      <c r="F283" s="123"/>
      <c r="G283" s="127" t="s">
        <v>110</v>
      </c>
      <c r="H283" s="128">
        <v>2000</v>
      </c>
      <c r="I283" s="128" t="s">
        <v>134</v>
      </c>
      <c r="J283" s="128">
        <f t="shared" si="8"/>
        <v>5</v>
      </c>
      <c r="K283" s="128" t="s">
        <v>1338</v>
      </c>
      <c r="L283" s="128" t="s">
        <v>30</v>
      </c>
      <c r="M283" s="129" t="s">
        <v>31</v>
      </c>
      <c r="N283" s="129" t="s">
        <v>28</v>
      </c>
      <c r="O283" s="129"/>
      <c r="P283" s="129" t="str">
        <f t="shared" si="9"/>
        <v/>
      </c>
      <c r="Q283" s="128" t="s">
        <v>1339</v>
      </c>
      <c r="R283" s="128">
        <v>4.5999999999999996</v>
      </c>
      <c r="S283" s="130"/>
      <c r="T283" s="130" t="s">
        <v>31</v>
      </c>
      <c r="U283" s="131"/>
    </row>
    <row r="284" spans="1:21" ht="15.75" thickBot="1">
      <c r="A284" s="45">
        <v>1150</v>
      </c>
      <c r="B284" s="123"/>
      <c r="C284" s="123"/>
      <c r="D284" s="123"/>
      <c r="E284" s="123"/>
      <c r="F284" s="123"/>
      <c r="G284" s="127" t="s">
        <v>110</v>
      </c>
      <c r="H284" s="128">
        <v>2000</v>
      </c>
      <c r="I284" s="128" t="s">
        <v>134</v>
      </c>
      <c r="J284" s="128">
        <f t="shared" si="8"/>
        <v>5</v>
      </c>
      <c r="K284" s="128" t="s">
        <v>1340</v>
      </c>
      <c r="L284" s="128" t="s">
        <v>30</v>
      </c>
      <c r="M284" s="129" t="s">
        <v>201</v>
      </c>
      <c r="N284" s="129" t="s">
        <v>28</v>
      </c>
      <c r="O284" s="129"/>
      <c r="P284" s="129" t="str">
        <f t="shared" si="9"/>
        <v/>
      </c>
      <c r="Q284" s="128" t="s">
        <v>1341</v>
      </c>
      <c r="R284" s="128">
        <v>5.3</v>
      </c>
      <c r="S284" s="130"/>
      <c r="T284" s="130" t="s">
        <v>998</v>
      </c>
      <c r="U284" s="131"/>
    </row>
    <row r="285" spans="1:21" ht="15.75" thickBot="1">
      <c r="A285" s="45">
        <v>1150</v>
      </c>
      <c r="B285" s="123"/>
      <c r="C285" s="123"/>
      <c r="D285" s="123"/>
      <c r="E285" s="123"/>
      <c r="F285" s="123"/>
      <c r="G285" s="127" t="s">
        <v>110</v>
      </c>
      <c r="H285" s="128">
        <v>2000</v>
      </c>
      <c r="I285" s="128" t="s">
        <v>134</v>
      </c>
      <c r="J285" s="128">
        <f t="shared" si="8"/>
        <v>5</v>
      </c>
      <c r="K285" s="128" t="s">
        <v>1342</v>
      </c>
      <c r="L285" s="128" t="s">
        <v>40</v>
      </c>
      <c r="M285" s="129" t="s">
        <v>1003</v>
      </c>
      <c r="N285" s="129" t="s">
        <v>28</v>
      </c>
      <c r="O285" s="129"/>
      <c r="P285" s="129" t="str">
        <f t="shared" si="9"/>
        <v/>
      </c>
      <c r="Q285" s="128" t="s">
        <v>1343</v>
      </c>
      <c r="R285" s="128">
        <v>29.1</v>
      </c>
      <c r="S285" s="130"/>
      <c r="T285" s="130"/>
      <c r="U285" s="131"/>
    </row>
    <row r="286" spans="1:21" ht="15.75" thickBot="1">
      <c r="A286" s="45">
        <v>1150</v>
      </c>
      <c r="B286" s="123"/>
      <c r="C286" s="123"/>
      <c r="D286" s="123"/>
      <c r="E286" s="123"/>
      <c r="F286" s="123"/>
      <c r="G286" s="127" t="s">
        <v>110</v>
      </c>
      <c r="H286" s="128">
        <v>2000</v>
      </c>
      <c r="I286" s="128" t="s">
        <v>134</v>
      </c>
      <c r="J286" s="128">
        <f t="shared" si="8"/>
        <v>5</v>
      </c>
      <c r="K286" s="128" t="s">
        <v>167</v>
      </c>
      <c r="L286" s="128" t="s">
        <v>30</v>
      </c>
      <c r="M286" s="129" t="s">
        <v>201</v>
      </c>
      <c r="N286" s="129" t="s">
        <v>32</v>
      </c>
      <c r="O286" s="129"/>
      <c r="P286" s="129" t="str">
        <f t="shared" si="9"/>
        <v/>
      </c>
      <c r="Q286" s="130"/>
      <c r="R286" s="128">
        <v>30.1</v>
      </c>
      <c r="S286" s="128">
        <v>78.84</v>
      </c>
      <c r="T286" s="130"/>
      <c r="U286" s="131"/>
    </row>
    <row r="287" spans="1:21" ht="51.75" thickBot="1">
      <c r="A287" s="45">
        <v>1151</v>
      </c>
      <c r="B287" s="123"/>
      <c r="C287" s="123"/>
      <c r="D287" s="123"/>
      <c r="E287" s="123"/>
      <c r="F287" s="123"/>
      <c r="G287" s="127" t="s">
        <v>110</v>
      </c>
      <c r="H287" s="128">
        <v>2000</v>
      </c>
      <c r="I287" s="128" t="s">
        <v>97</v>
      </c>
      <c r="J287" s="128">
        <f t="shared" si="8"/>
        <v>3</v>
      </c>
      <c r="K287" s="128" t="s">
        <v>1344</v>
      </c>
      <c r="L287" s="128" t="s">
        <v>30</v>
      </c>
      <c r="M287" s="129" t="s">
        <v>1065</v>
      </c>
      <c r="N287" s="129" t="s">
        <v>28</v>
      </c>
      <c r="O287" s="129"/>
      <c r="P287" s="129" t="str">
        <f t="shared" si="9"/>
        <v/>
      </c>
      <c r="Q287" s="128" t="s">
        <v>1345</v>
      </c>
      <c r="R287" s="128">
        <v>12.1</v>
      </c>
      <c r="S287" s="130"/>
      <c r="T287" s="130" t="s">
        <v>1346</v>
      </c>
      <c r="U287" s="131"/>
    </row>
    <row r="288" spans="1:21" ht="15.75" thickBot="1">
      <c r="A288" s="45">
        <v>1151</v>
      </c>
      <c r="B288" s="123"/>
      <c r="C288" s="123"/>
      <c r="D288" s="123"/>
      <c r="E288" s="123"/>
      <c r="F288" s="123"/>
      <c r="G288" s="127" t="s">
        <v>110</v>
      </c>
      <c r="H288" s="128">
        <v>2000</v>
      </c>
      <c r="I288" s="128" t="s">
        <v>97</v>
      </c>
      <c r="J288" s="128">
        <f t="shared" si="8"/>
        <v>3</v>
      </c>
      <c r="K288" s="128" t="s">
        <v>1347</v>
      </c>
      <c r="L288" s="128" t="s">
        <v>40</v>
      </c>
      <c r="M288" s="129" t="s">
        <v>201</v>
      </c>
      <c r="N288" s="129" t="s">
        <v>28</v>
      </c>
      <c r="O288" s="129"/>
      <c r="P288" s="129" t="str">
        <f t="shared" si="9"/>
        <v/>
      </c>
      <c r="Q288" s="130"/>
      <c r="R288" s="128">
        <v>26.2</v>
      </c>
      <c r="S288" s="130"/>
      <c r="T288" s="130"/>
      <c r="U288" s="131"/>
    </row>
    <row r="289" spans="1:21" ht="15.75" thickBot="1">
      <c r="A289" s="45">
        <v>1151</v>
      </c>
      <c r="B289" s="123"/>
      <c r="C289" s="123"/>
      <c r="D289" s="123"/>
      <c r="E289" s="123"/>
      <c r="F289" s="123"/>
      <c r="G289" s="127" t="s">
        <v>110</v>
      </c>
      <c r="H289" s="128">
        <v>2000</v>
      </c>
      <c r="I289" s="128" t="s">
        <v>97</v>
      </c>
      <c r="J289" s="128">
        <f t="shared" si="8"/>
        <v>3</v>
      </c>
      <c r="K289" s="128" t="s">
        <v>158</v>
      </c>
      <c r="L289" s="128" t="s">
        <v>30</v>
      </c>
      <c r="M289" s="129" t="s">
        <v>1065</v>
      </c>
      <c r="N289" s="129" t="s">
        <v>32</v>
      </c>
      <c r="O289" s="129"/>
      <c r="P289" s="129" t="str">
        <f t="shared" si="9"/>
        <v/>
      </c>
      <c r="Q289" s="130"/>
      <c r="R289" s="128">
        <v>61.5</v>
      </c>
      <c r="S289" s="130"/>
      <c r="T289" s="130"/>
      <c r="U289" s="131"/>
    </row>
    <row r="290" spans="1:21" ht="15.75" thickBot="1">
      <c r="A290" s="45">
        <v>1152</v>
      </c>
      <c r="B290" s="123"/>
      <c r="C290" s="123"/>
      <c r="D290" s="123"/>
      <c r="E290" s="123"/>
      <c r="F290" s="123"/>
      <c r="G290" s="127" t="s">
        <v>110</v>
      </c>
      <c r="H290" s="128">
        <v>2000</v>
      </c>
      <c r="I290" s="128" t="s">
        <v>138</v>
      </c>
      <c r="J290" s="128">
        <f t="shared" si="8"/>
        <v>1</v>
      </c>
      <c r="K290" s="128" t="s">
        <v>137</v>
      </c>
      <c r="L290" s="128" t="s">
        <v>30</v>
      </c>
      <c r="M290" s="129" t="s">
        <v>1065</v>
      </c>
      <c r="N290" s="129" t="s">
        <v>32</v>
      </c>
      <c r="O290" s="129"/>
      <c r="P290" s="129" t="str">
        <f t="shared" si="9"/>
        <v/>
      </c>
      <c r="Q290" s="130"/>
      <c r="R290" s="128">
        <v>100</v>
      </c>
      <c r="S290" s="130"/>
      <c r="T290" s="130"/>
      <c r="U290" s="131"/>
    </row>
    <row r="291" spans="1:21" ht="15.75" thickBot="1">
      <c r="A291" s="45">
        <v>1153</v>
      </c>
      <c r="B291" s="123"/>
      <c r="C291" s="123"/>
      <c r="D291" s="123"/>
      <c r="E291" s="123"/>
      <c r="F291" s="123"/>
      <c r="G291" s="127" t="s">
        <v>110</v>
      </c>
      <c r="H291" s="128">
        <v>2000</v>
      </c>
      <c r="I291" s="128" t="s">
        <v>82</v>
      </c>
      <c r="J291" s="128">
        <f t="shared" si="8"/>
        <v>2</v>
      </c>
      <c r="K291" s="128"/>
      <c r="L291" s="128"/>
      <c r="M291" s="129"/>
      <c r="N291" s="129"/>
      <c r="O291" s="129"/>
      <c r="P291" s="129" t="str">
        <f t="shared" si="9"/>
        <v/>
      </c>
      <c r="Q291" s="130"/>
      <c r="R291" s="128"/>
      <c r="S291" s="130"/>
      <c r="T291" s="130"/>
      <c r="U291" s="146"/>
    </row>
    <row r="292" spans="1:21" ht="15.75" thickBot="1">
      <c r="A292" s="45">
        <v>1153</v>
      </c>
      <c r="B292" s="123"/>
      <c r="C292" s="123"/>
      <c r="D292" s="123"/>
      <c r="E292" s="123"/>
      <c r="F292" s="123"/>
      <c r="G292" s="127" t="s">
        <v>110</v>
      </c>
      <c r="H292" s="128">
        <v>2000</v>
      </c>
      <c r="I292" s="128" t="s">
        <v>82</v>
      </c>
      <c r="J292" s="128">
        <f t="shared" si="8"/>
        <v>2</v>
      </c>
      <c r="K292" s="128"/>
      <c r="L292" s="128"/>
      <c r="M292" s="129"/>
      <c r="N292" s="129"/>
      <c r="O292" s="129"/>
      <c r="P292" s="129" t="str">
        <f t="shared" si="9"/>
        <v/>
      </c>
      <c r="Q292" s="130"/>
      <c r="R292" s="128"/>
      <c r="S292" s="130"/>
      <c r="T292" s="130"/>
      <c r="U292" s="131"/>
    </row>
    <row r="293" spans="1:21" ht="15.75" thickBot="1">
      <c r="A293" s="45">
        <v>1154</v>
      </c>
      <c r="B293" s="123"/>
      <c r="C293" s="123"/>
      <c r="D293" s="123"/>
      <c r="E293" s="123"/>
      <c r="F293" s="123"/>
      <c r="G293" s="127" t="s">
        <v>110</v>
      </c>
      <c r="H293" s="128">
        <v>2000</v>
      </c>
      <c r="I293" s="128" t="s">
        <v>141</v>
      </c>
      <c r="J293" s="128">
        <f t="shared" si="8"/>
        <v>4</v>
      </c>
      <c r="K293" s="128" t="s">
        <v>1348</v>
      </c>
      <c r="L293" s="128" t="s">
        <v>30</v>
      </c>
      <c r="M293" s="129" t="s">
        <v>1003</v>
      </c>
      <c r="N293" s="129" t="s">
        <v>28</v>
      </c>
      <c r="O293" s="129"/>
      <c r="P293" s="129" t="str">
        <f t="shared" si="9"/>
        <v/>
      </c>
      <c r="Q293" s="128" t="s">
        <v>1004</v>
      </c>
      <c r="R293" s="128">
        <v>6.9</v>
      </c>
      <c r="S293" s="130"/>
      <c r="T293" s="130"/>
      <c r="U293" s="131"/>
    </row>
    <row r="294" spans="1:21" ht="15.75" thickBot="1">
      <c r="A294" s="45">
        <v>1154</v>
      </c>
      <c r="B294" s="123"/>
      <c r="C294" s="123"/>
      <c r="D294" s="123"/>
      <c r="E294" s="123"/>
      <c r="F294" s="123"/>
      <c r="G294" s="127" t="s">
        <v>110</v>
      </c>
      <c r="H294" s="128">
        <v>2000</v>
      </c>
      <c r="I294" s="128" t="s">
        <v>141</v>
      </c>
      <c r="J294" s="128">
        <f t="shared" si="8"/>
        <v>4</v>
      </c>
      <c r="K294" s="128" t="s">
        <v>176</v>
      </c>
      <c r="L294" s="128" t="s">
        <v>30</v>
      </c>
      <c r="M294" s="129" t="s">
        <v>201</v>
      </c>
      <c r="N294" s="129" t="s">
        <v>32</v>
      </c>
      <c r="O294" s="129"/>
      <c r="P294" s="129" t="str">
        <f t="shared" si="9"/>
        <v/>
      </c>
      <c r="Q294" s="130"/>
      <c r="R294" s="128">
        <v>49.1</v>
      </c>
      <c r="S294" s="128">
        <v>68.02</v>
      </c>
      <c r="T294" s="130"/>
      <c r="U294" s="131"/>
    </row>
    <row r="295" spans="1:21" ht="15.75" thickBot="1">
      <c r="A295" s="45">
        <v>1154</v>
      </c>
      <c r="B295" s="123"/>
      <c r="C295" s="123"/>
      <c r="D295" s="123"/>
      <c r="E295" s="123"/>
      <c r="F295" s="123"/>
      <c r="G295" s="127" t="s">
        <v>110</v>
      </c>
      <c r="H295" s="128">
        <v>2000</v>
      </c>
      <c r="I295" s="128" t="s">
        <v>141</v>
      </c>
      <c r="J295" s="128">
        <f t="shared" si="8"/>
        <v>4</v>
      </c>
      <c r="K295" s="128" t="s">
        <v>1349</v>
      </c>
      <c r="L295" s="128" t="s">
        <v>30</v>
      </c>
      <c r="M295" s="129" t="s">
        <v>201</v>
      </c>
      <c r="N295" s="129" t="s">
        <v>28</v>
      </c>
      <c r="O295" s="129"/>
      <c r="P295" s="129" t="str">
        <f t="shared" si="9"/>
        <v/>
      </c>
      <c r="Q295" s="130"/>
      <c r="R295" s="128">
        <v>11.5</v>
      </c>
      <c r="S295" s="130"/>
      <c r="T295" s="130"/>
      <c r="U295" s="131"/>
    </row>
    <row r="296" spans="1:21" ht="15.75" thickBot="1">
      <c r="A296" s="45">
        <v>1154</v>
      </c>
      <c r="B296" s="123"/>
      <c r="C296" s="123"/>
      <c r="D296" s="123"/>
      <c r="E296" s="123"/>
      <c r="F296" s="123"/>
      <c r="G296" s="127" t="s">
        <v>110</v>
      </c>
      <c r="H296" s="128">
        <v>2000</v>
      </c>
      <c r="I296" s="128" t="s">
        <v>141</v>
      </c>
      <c r="J296" s="128">
        <f t="shared" si="8"/>
        <v>4</v>
      </c>
      <c r="K296" s="128" t="s">
        <v>1350</v>
      </c>
      <c r="L296" s="128" t="s">
        <v>30</v>
      </c>
      <c r="M296" s="129" t="s">
        <v>201</v>
      </c>
      <c r="N296" s="129" t="s">
        <v>28</v>
      </c>
      <c r="O296" s="129"/>
      <c r="P296" s="129" t="str">
        <f t="shared" si="9"/>
        <v/>
      </c>
      <c r="Q296" s="128" t="s">
        <v>1351</v>
      </c>
      <c r="R296" s="128">
        <v>32.299999999999997</v>
      </c>
      <c r="S296" s="128">
        <v>31.98</v>
      </c>
      <c r="T296" s="130" t="s">
        <v>998</v>
      </c>
      <c r="U296" s="131"/>
    </row>
    <row r="297" spans="1:21" ht="15.75" thickBot="1">
      <c r="A297" s="45">
        <v>1137</v>
      </c>
      <c r="B297" s="123"/>
      <c r="C297" s="123"/>
      <c r="D297" s="123"/>
      <c r="E297" s="123"/>
      <c r="F297" s="123"/>
      <c r="G297" s="127" t="s">
        <v>110</v>
      </c>
      <c r="H297" s="128">
        <v>2002</v>
      </c>
      <c r="I297" s="128" t="s">
        <v>38</v>
      </c>
      <c r="J297" s="128">
        <f t="shared" si="8"/>
        <v>2</v>
      </c>
      <c r="K297" s="128" t="s">
        <v>170</v>
      </c>
      <c r="L297" s="128" t="s">
        <v>30</v>
      </c>
      <c r="M297" s="129" t="s">
        <v>31</v>
      </c>
      <c r="N297" s="129" t="s">
        <v>32</v>
      </c>
      <c r="O297" s="129"/>
      <c r="P297" s="129" t="str">
        <f t="shared" si="9"/>
        <v/>
      </c>
      <c r="Q297" s="128" t="s">
        <v>1352</v>
      </c>
      <c r="R297" s="128">
        <v>63.54</v>
      </c>
      <c r="S297" s="130"/>
      <c r="T297" s="130" t="s">
        <v>31</v>
      </c>
      <c r="U297" s="131"/>
    </row>
    <row r="298" spans="1:21" ht="15.75" thickBot="1">
      <c r="A298" s="45">
        <v>1137</v>
      </c>
      <c r="B298" s="123"/>
      <c r="C298" s="123"/>
      <c r="D298" s="123"/>
      <c r="E298" s="123"/>
      <c r="F298" s="123"/>
      <c r="G298" s="127" t="s">
        <v>110</v>
      </c>
      <c r="H298" s="128">
        <v>2002</v>
      </c>
      <c r="I298" s="128" t="s">
        <v>38</v>
      </c>
      <c r="J298" s="128">
        <f t="shared" si="8"/>
        <v>2</v>
      </c>
      <c r="K298" s="128" t="s">
        <v>1353</v>
      </c>
      <c r="L298" s="128" t="s">
        <v>30</v>
      </c>
      <c r="M298" s="129" t="s">
        <v>201</v>
      </c>
      <c r="N298" s="129" t="s">
        <v>28</v>
      </c>
      <c r="O298" s="129"/>
      <c r="P298" s="129" t="str">
        <f t="shared" si="9"/>
        <v/>
      </c>
      <c r="Q298" s="128" t="s">
        <v>1354</v>
      </c>
      <c r="R298" s="128">
        <v>36.46</v>
      </c>
      <c r="S298" s="130"/>
      <c r="T298" s="130" t="s">
        <v>998</v>
      </c>
      <c r="U298" s="131"/>
    </row>
    <row r="299" spans="1:21" ht="15.75" thickBot="1">
      <c r="A299" s="45">
        <v>1138</v>
      </c>
      <c r="B299" s="123"/>
      <c r="C299" s="123"/>
      <c r="D299" s="123"/>
      <c r="E299" s="123"/>
      <c r="F299" s="123"/>
      <c r="G299" s="127" t="s">
        <v>110</v>
      </c>
      <c r="H299" s="128">
        <v>2002</v>
      </c>
      <c r="I299" s="128" t="s">
        <v>160</v>
      </c>
      <c r="J299" s="128">
        <f t="shared" si="8"/>
        <v>1</v>
      </c>
      <c r="K299" s="128" t="s">
        <v>169</v>
      </c>
      <c r="L299" s="128" t="s">
        <v>30</v>
      </c>
      <c r="M299" s="129" t="s">
        <v>31</v>
      </c>
      <c r="N299" s="129" t="s">
        <v>32</v>
      </c>
      <c r="O299" s="129"/>
      <c r="P299" s="129" t="str">
        <f t="shared" si="9"/>
        <v/>
      </c>
      <c r="Q299" s="130"/>
      <c r="R299" s="128">
        <v>100</v>
      </c>
      <c r="S299" s="130"/>
      <c r="T299" s="130"/>
      <c r="U299" s="131"/>
    </row>
    <row r="300" spans="1:21" ht="15.75" thickBot="1">
      <c r="A300" s="45">
        <v>1139</v>
      </c>
      <c r="B300" s="123"/>
      <c r="C300" s="123"/>
      <c r="D300" s="123"/>
      <c r="E300" s="123"/>
      <c r="F300" s="123"/>
      <c r="G300" s="127" t="s">
        <v>110</v>
      </c>
      <c r="H300" s="128">
        <v>2002</v>
      </c>
      <c r="I300" s="128" t="s">
        <v>91</v>
      </c>
      <c r="J300" s="128">
        <f t="shared" si="8"/>
        <v>1</v>
      </c>
      <c r="K300" s="128" t="s">
        <v>171</v>
      </c>
      <c r="L300" s="128" t="s">
        <v>30</v>
      </c>
      <c r="M300" s="129" t="s">
        <v>34</v>
      </c>
      <c r="N300" s="129" t="s">
        <v>32</v>
      </c>
      <c r="O300" s="129"/>
      <c r="P300" s="129" t="str">
        <f t="shared" si="9"/>
        <v/>
      </c>
      <c r="Q300" s="128" t="s">
        <v>1355</v>
      </c>
      <c r="R300" s="128">
        <v>100</v>
      </c>
      <c r="S300" s="130"/>
      <c r="T300" s="130" t="s">
        <v>998</v>
      </c>
      <c r="U300" s="131"/>
    </row>
    <row r="301" spans="1:21" ht="15.75" thickBot="1">
      <c r="A301" s="45">
        <v>1141</v>
      </c>
      <c r="B301" s="123"/>
      <c r="C301" s="123"/>
      <c r="D301" s="123"/>
      <c r="E301" s="123"/>
      <c r="F301" s="123"/>
      <c r="G301" s="127" t="s">
        <v>110</v>
      </c>
      <c r="H301" s="128">
        <v>2002</v>
      </c>
      <c r="I301" s="128" t="s">
        <v>79</v>
      </c>
      <c r="J301" s="128">
        <f t="shared" si="8"/>
        <v>4</v>
      </c>
      <c r="K301" s="128" t="s">
        <v>1356</v>
      </c>
      <c r="L301" s="128" t="s">
        <v>30</v>
      </c>
      <c r="M301" s="129" t="s">
        <v>31</v>
      </c>
      <c r="N301" s="129" t="s">
        <v>28</v>
      </c>
      <c r="O301" s="129"/>
      <c r="P301" s="129" t="str">
        <f t="shared" si="9"/>
        <v/>
      </c>
      <c r="Q301" s="128" t="s">
        <v>1357</v>
      </c>
      <c r="R301" s="128">
        <v>45.37</v>
      </c>
      <c r="S301" s="128">
        <v>45.3</v>
      </c>
      <c r="T301" s="130" t="s">
        <v>31</v>
      </c>
      <c r="U301" s="131"/>
    </row>
    <row r="302" spans="1:21" ht="15.75" thickBot="1">
      <c r="A302" s="45">
        <v>1141</v>
      </c>
      <c r="B302" s="123"/>
      <c r="C302" s="123"/>
      <c r="D302" s="123"/>
      <c r="E302" s="123"/>
      <c r="F302" s="123"/>
      <c r="G302" s="127" t="s">
        <v>110</v>
      </c>
      <c r="H302" s="128">
        <v>2002</v>
      </c>
      <c r="I302" s="128" t="s">
        <v>79</v>
      </c>
      <c r="J302" s="128">
        <f t="shared" si="8"/>
        <v>4</v>
      </c>
      <c r="K302" s="128" t="s">
        <v>145</v>
      </c>
      <c r="L302" s="128" t="s">
        <v>40</v>
      </c>
      <c r="M302" s="129" t="s">
        <v>34</v>
      </c>
      <c r="N302" s="129" t="s">
        <v>32</v>
      </c>
      <c r="O302" s="129"/>
      <c r="P302" s="129" t="str">
        <f t="shared" si="9"/>
        <v/>
      </c>
      <c r="Q302" s="130"/>
      <c r="R302" s="128">
        <v>43.07</v>
      </c>
      <c r="S302" s="128">
        <v>54.54</v>
      </c>
      <c r="T302" s="130"/>
      <c r="U302" s="131"/>
    </row>
    <row r="303" spans="1:21" ht="15.75" thickBot="1">
      <c r="A303" s="45">
        <v>1141</v>
      </c>
      <c r="B303" s="123"/>
      <c r="C303" s="123"/>
      <c r="D303" s="123"/>
      <c r="E303" s="123"/>
      <c r="F303" s="123"/>
      <c r="G303" s="127" t="s">
        <v>110</v>
      </c>
      <c r="H303" s="128">
        <v>2002</v>
      </c>
      <c r="I303" s="128" t="s">
        <v>79</v>
      </c>
      <c r="J303" s="128">
        <f t="shared" si="8"/>
        <v>4</v>
      </c>
      <c r="K303" s="128" t="s">
        <v>1358</v>
      </c>
      <c r="L303" s="128" t="s">
        <v>40</v>
      </c>
      <c r="M303" s="129" t="s">
        <v>201</v>
      </c>
      <c r="N303" s="129" t="s">
        <v>28</v>
      </c>
      <c r="O303" s="129"/>
      <c r="P303" s="129" t="str">
        <f t="shared" si="9"/>
        <v/>
      </c>
      <c r="Q303" s="128" t="s">
        <v>1359</v>
      </c>
      <c r="R303" s="128">
        <v>9.49</v>
      </c>
      <c r="S303" s="130"/>
      <c r="T303" s="130" t="s">
        <v>998</v>
      </c>
      <c r="U303" s="131"/>
    </row>
    <row r="304" spans="1:21" ht="15.75" thickBot="1">
      <c r="A304" s="45">
        <v>1141</v>
      </c>
      <c r="B304" s="123"/>
      <c r="C304" s="123"/>
      <c r="D304" s="123"/>
      <c r="E304" s="123"/>
      <c r="F304" s="123"/>
      <c r="G304" s="127" t="s">
        <v>110</v>
      </c>
      <c r="H304" s="128">
        <v>2002</v>
      </c>
      <c r="I304" s="128" t="s">
        <v>79</v>
      </c>
      <c r="J304" s="128">
        <f t="shared" si="8"/>
        <v>4</v>
      </c>
      <c r="K304" s="128" t="s">
        <v>1360</v>
      </c>
      <c r="L304" s="128" t="s">
        <v>30</v>
      </c>
      <c r="M304" s="129" t="s">
        <v>201</v>
      </c>
      <c r="N304" s="129" t="s">
        <v>28</v>
      </c>
      <c r="O304" s="129"/>
      <c r="P304" s="129" t="str">
        <f t="shared" si="9"/>
        <v/>
      </c>
      <c r="Q304" s="128" t="s">
        <v>1361</v>
      </c>
      <c r="R304" s="128">
        <v>2.06</v>
      </c>
      <c r="S304" s="130"/>
      <c r="T304" s="130" t="s">
        <v>998</v>
      </c>
      <c r="U304" s="131"/>
    </row>
    <row r="305" spans="1:21" ht="15.75" thickBot="1">
      <c r="A305" s="45">
        <v>1143</v>
      </c>
      <c r="B305" s="123"/>
      <c r="C305" s="123"/>
      <c r="D305" s="123"/>
      <c r="E305" s="123"/>
      <c r="F305" s="123"/>
      <c r="G305" s="127" t="s">
        <v>110</v>
      </c>
      <c r="H305" s="128">
        <v>2002</v>
      </c>
      <c r="I305" s="128" t="s">
        <v>100</v>
      </c>
      <c r="J305" s="128">
        <f t="shared" si="8"/>
        <v>3</v>
      </c>
      <c r="K305" s="128" t="s">
        <v>121</v>
      </c>
      <c r="L305" s="128" t="s">
        <v>40</v>
      </c>
      <c r="M305" s="129" t="s">
        <v>201</v>
      </c>
      <c r="N305" s="129" t="s">
        <v>32</v>
      </c>
      <c r="O305" s="129"/>
      <c r="P305" s="129" t="str">
        <f t="shared" si="9"/>
        <v/>
      </c>
      <c r="Q305" s="130"/>
      <c r="R305" s="128">
        <v>53.4</v>
      </c>
      <c r="S305" s="130"/>
      <c r="T305" s="130"/>
      <c r="U305" s="131"/>
    </row>
    <row r="306" spans="1:21" ht="15.75" thickBot="1">
      <c r="A306" s="45">
        <v>1143</v>
      </c>
      <c r="B306" s="123"/>
      <c r="C306" s="123"/>
      <c r="D306" s="123"/>
      <c r="E306" s="123"/>
      <c r="F306" s="123"/>
      <c r="G306" s="127" t="s">
        <v>110</v>
      </c>
      <c r="H306" s="128">
        <v>2002</v>
      </c>
      <c r="I306" s="128" t="s">
        <v>100</v>
      </c>
      <c r="J306" s="128">
        <f t="shared" si="8"/>
        <v>3</v>
      </c>
      <c r="K306" s="128" t="s">
        <v>1362</v>
      </c>
      <c r="L306" s="128" t="s">
        <v>30</v>
      </c>
      <c r="M306" s="129" t="s">
        <v>1003</v>
      </c>
      <c r="N306" s="129" t="s">
        <v>28</v>
      </c>
      <c r="O306" s="129"/>
      <c r="P306" s="129" t="str">
        <f t="shared" si="9"/>
        <v/>
      </c>
      <c r="Q306" s="128" t="s">
        <v>1004</v>
      </c>
      <c r="R306" s="128">
        <v>34.28</v>
      </c>
      <c r="S306" s="130"/>
      <c r="T306" s="130" t="s">
        <v>31</v>
      </c>
      <c r="U306" s="131"/>
    </row>
    <row r="307" spans="1:21" ht="15.75" thickBot="1">
      <c r="A307" s="45">
        <v>1143</v>
      </c>
      <c r="B307" s="123"/>
      <c r="C307" s="123"/>
      <c r="D307" s="123"/>
      <c r="E307" s="123"/>
      <c r="F307" s="123"/>
      <c r="G307" s="127" t="s">
        <v>110</v>
      </c>
      <c r="H307" s="128">
        <v>2002</v>
      </c>
      <c r="I307" s="128" t="s">
        <v>100</v>
      </c>
      <c r="J307" s="128">
        <f t="shared" si="8"/>
        <v>3</v>
      </c>
      <c r="K307" s="128" t="s">
        <v>1363</v>
      </c>
      <c r="L307" s="128" t="s">
        <v>40</v>
      </c>
      <c r="M307" s="129" t="s">
        <v>31</v>
      </c>
      <c r="N307" s="129" t="s">
        <v>28</v>
      </c>
      <c r="O307" s="129"/>
      <c r="P307" s="129" t="str">
        <f t="shared" si="9"/>
        <v/>
      </c>
      <c r="Q307" s="130"/>
      <c r="R307" s="128">
        <v>12.32</v>
      </c>
      <c r="S307" s="130"/>
      <c r="T307" s="130"/>
      <c r="U307" s="131"/>
    </row>
    <row r="308" spans="1:21" ht="15.75" hidden="1" thickBot="1">
      <c r="A308" s="45">
        <v>1127</v>
      </c>
      <c r="B308" s="123"/>
      <c r="C308" s="123"/>
      <c r="D308" s="123"/>
      <c r="E308" s="123"/>
      <c r="F308" s="123"/>
      <c r="G308" s="127" t="s">
        <v>110</v>
      </c>
      <c r="H308" s="128">
        <v>2004</v>
      </c>
      <c r="I308" s="128" t="s">
        <v>154</v>
      </c>
      <c r="J308" s="128">
        <f t="shared" si="8"/>
        <v>3</v>
      </c>
      <c r="K308" s="128" t="s">
        <v>165</v>
      </c>
      <c r="L308" s="128" t="s">
        <v>30</v>
      </c>
      <c r="M308" s="129" t="s">
        <v>34</v>
      </c>
      <c r="N308" s="129" t="s">
        <v>32</v>
      </c>
      <c r="O308" s="129" t="s">
        <v>32</v>
      </c>
      <c r="P308" s="129" t="str">
        <f t="shared" si="9"/>
        <v>Y</v>
      </c>
      <c r="Q308" s="132" t="s">
        <v>1364</v>
      </c>
      <c r="R308" s="128">
        <v>53.65</v>
      </c>
      <c r="S308" s="130"/>
      <c r="T308" s="130" t="s">
        <v>998</v>
      </c>
      <c r="U308" s="131"/>
    </row>
    <row r="309" spans="1:21" ht="15.75" thickBot="1">
      <c r="A309" s="45">
        <v>1127</v>
      </c>
      <c r="B309" s="123"/>
      <c r="C309" s="123"/>
      <c r="D309" s="123"/>
      <c r="E309" s="123"/>
      <c r="F309" s="123"/>
      <c r="G309" s="127" t="s">
        <v>110</v>
      </c>
      <c r="H309" s="128">
        <v>2004</v>
      </c>
      <c r="I309" s="128" t="s">
        <v>154</v>
      </c>
      <c r="J309" s="128">
        <f t="shared" si="8"/>
        <v>3</v>
      </c>
      <c r="K309" s="128" t="s">
        <v>1365</v>
      </c>
      <c r="L309" s="128" t="s">
        <v>30</v>
      </c>
      <c r="M309" s="129" t="s">
        <v>1065</v>
      </c>
      <c r="N309" s="129" t="s">
        <v>28</v>
      </c>
      <c r="O309" s="129"/>
      <c r="P309" s="129" t="str">
        <f t="shared" si="9"/>
        <v/>
      </c>
      <c r="Q309" s="130"/>
      <c r="R309" s="128">
        <v>9.01</v>
      </c>
      <c r="S309" s="130"/>
      <c r="T309" s="130"/>
      <c r="U309" s="131"/>
    </row>
    <row r="310" spans="1:21" ht="15.75" thickBot="1">
      <c r="A310" s="45">
        <v>1127</v>
      </c>
      <c r="B310" s="123"/>
      <c r="C310" s="123"/>
      <c r="D310" s="123"/>
      <c r="E310" s="123"/>
      <c r="F310" s="123"/>
      <c r="G310" s="127" t="s">
        <v>110</v>
      </c>
      <c r="H310" s="128">
        <v>2004</v>
      </c>
      <c r="I310" s="128" t="s">
        <v>154</v>
      </c>
      <c r="J310" s="128">
        <f t="shared" si="8"/>
        <v>3</v>
      </c>
      <c r="K310" s="128" t="s">
        <v>1366</v>
      </c>
      <c r="L310" s="128" t="s">
        <v>40</v>
      </c>
      <c r="M310" s="129" t="s">
        <v>201</v>
      </c>
      <c r="N310" s="129" t="s">
        <v>28</v>
      </c>
      <c r="O310" s="129"/>
      <c r="P310" s="129" t="str">
        <f t="shared" si="9"/>
        <v/>
      </c>
      <c r="Q310" s="130"/>
      <c r="R310" s="128">
        <v>37.06</v>
      </c>
      <c r="S310" s="130"/>
      <c r="T310" s="130"/>
      <c r="U310" s="131"/>
    </row>
    <row r="311" spans="1:21" ht="15.75" hidden="1" thickBot="1">
      <c r="A311" s="45">
        <v>1128</v>
      </c>
      <c r="B311" s="123"/>
      <c r="C311" s="123"/>
      <c r="D311" s="123"/>
      <c r="E311" s="123"/>
      <c r="F311" s="123"/>
      <c r="G311" s="127" t="s">
        <v>110</v>
      </c>
      <c r="H311" s="128">
        <v>2004</v>
      </c>
      <c r="I311" s="128" t="s">
        <v>124</v>
      </c>
      <c r="J311" s="128">
        <f t="shared" si="8"/>
        <v>1</v>
      </c>
      <c r="K311" s="128" t="s">
        <v>153</v>
      </c>
      <c r="L311" s="128" t="s">
        <v>30</v>
      </c>
      <c r="M311" s="129" t="s">
        <v>31</v>
      </c>
      <c r="N311" s="129" t="s">
        <v>32</v>
      </c>
      <c r="O311" s="129" t="s">
        <v>32</v>
      </c>
      <c r="P311" s="129" t="str">
        <f t="shared" si="9"/>
        <v>Y</v>
      </c>
      <c r="Q311" s="130"/>
      <c r="R311" s="128">
        <v>99.08</v>
      </c>
      <c r="S311" s="130"/>
      <c r="T311" s="130"/>
      <c r="U311" s="131"/>
    </row>
    <row r="312" spans="1:21" ht="15.75" hidden="1" thickBot="1">
      <c r="A312" s="45">
        <v>1129</v>
      </c>
      <c r="B312" s="123"/>
      <c r="C312" s="123"/>
      <c r="D312" s="123"/>
      <c r="E312" s="123"/>
      <c r="F312" s="123"/>
      <c r="G312" s="127" t="s">
        <v>110</v>
      </c>
      <c r="H312" s="128">
        <v>2004</v>
      </c>
      <c r="I312" s="128" t="s">
        <v>76</v>
      </c>
      <c r="J312" s="128">
        <f t="shared" si="8"/>
        <v>1</v>
      </c>
      <c r="K312" s="128" t="s">
        <v>156</v>
      </c>
      <c r="L312" s="128" t="s">
        <v>40</v>
      </c>
      <c r="M312" s="129" t="s">
        <v>31</v>
      </c>
      <c r="N312" s="129" t="s">
        <v>32</v>
      </c>
      <c r="O312" s="129" t="s">
        <v>32</v>
      </c>
      <c r="P312" s="129" t="str">
        <f t="shared" si="9"/>
        <v>Y</v>
      </c>
      <c r="Q312" s="130"/>
      <c r="R312" s="128">
        <v>98.82</v>
      </c>
      <c r="S312" s="130"/>
      <c r="T312" s="130"/>
      <c r="U312" s="131"/>
    </row>
    <row r="313" spans="1:21" ht="15.75" hidden="1" thickBot="1">
      <c r="A313" s="45">
        <v>1130</v>
      </c>
      <c r="B313" s="123"/>
      <c r="C313" s="123"/>
      <c r="D313" s="123"/>
      <c r="E313" s="123"/>
      <c r="F313" s="123"/>
      <c r="G313" s="127" t="s">
        <v>110</v>
      </c>
      <c r="H313" s="128">
        <v>2004</v>
      </c>
      <c r="I313" s="128" t="s">
        <v>130</v>
      </c>
      <c r="J313" s="128">
        <f t="shared" si="8"/>
        <v>1</v>
      </c>
      <c r="K313" s="128" t="s">
        <v>166</v>
      </c>
      <c r="L313" s="128" t="s">
        <v>40</v>
      </c>
      <c r="M313" s="129" t="s">
        <v>31</v>
      </c>
      <c r="N313" s="129" t="s">
        <v>32</v>
      </c>
      <c r="O313" s="129" t="s">
        <v>32</v>
      </c>
      <c r="P313" s="129" t="str">
        <f t="shared" si="9"/>
        <v>Y</v>
      </c>
      <c r="Q313" s="130"/>
      <c r="R313" s="128">
        <v>99.07</v>
      </c>
      <c r="S313" s="130"/>
      <c r="T313" s="130"/>
      <c r="U313" s="131"/>
    </row>
    <row r="314" spans="1:21" ht="15.75" hidden="1" thickBot="1">
      <c r="A314" s="45">
        <v>1131</v>
      </c>
      <c r="B314" s="123"/>
      <c r="C314" s="123"/>
      <c r="D314" s="123"/>
      <c r="E314" s="123"/>
      <c r="F314" s="123"/>
      <c r="G314" s="127" t="s">
        <v>110</v>
      </c>
      <c r="H314" s="128">
        <v>2004</v>
      </c>
      <c r="I314" s="128" t="s">
        <v>94</v>
      </c>
      <c r="J314" s="128">
        <f t="shared" si="8"/>
        <v>1</v>
      </c>
      <c r="K314" s="128" t="s">
        <v>157</v>
      </c>
      <c r="L314" s="128" t="s">
        <v>40</v>
      </c>
      <c r="M314" s="129" t="s">
        <v>31</v>
      </c>
      <c r="N314" s="129" t="s">
        <v>32</v>
      </c>
      <c r="O314" s="129" t="s">
        <v>32</v>
      </c>
      <c r="P314" s="129" t="str">
        <f t="shared" si="9"/>
        <v>Y</v>
      </c>
      <c r="Q314" s="130"/>
      <c r="R314" s="128">
        <v>98.84</v>
      </c>
      <c r="S314" s="130"/>
      <c r="T314" s="130"/>
      <c r="U314" s="131"/>
    </row>
    <row r="315" spans="1:21" ht="15.75" hidden="1" thickBot="1">
      <c r="A315" s="45">
        <v>1132</v>
      </c>
      <c r="B315" s="123"/>
      <c r="C315" s="123"/>
      <c r="D315" s="123"/>
      <c r="E315" s="123"/>
      <c r="F315" s="123"/>
      <c r="G315" s="127" t="s">
        <v>110</v>
      </c>
      <c r="H315" s="128">
        <v>2004</v>
      </c>
      <c r="I315" s="128" t="s">
        <v>134</v>
      </c>
      <c r="J315" s="128">
        <f t="shared" si="8"/>
        <v>1</v>
      </c>
      <c r="K315" s="128" t="s">
        <v>167</v>
      </c>
      <c r="L315" s="128" t="s">
        <v>30</v>
      </c>
      <c r="M315" s="129" t="s">
        <v>201</v>
      </c>
      <c r="N315" s="129" t="s">
        <v>32</v>
      </c>
      <c r="O315" s="129" t="s">
        <v>28</v>
      </c>
      <c r="P315" s="129" t="str">
        <f t="shared" si="9"/>
        <v>N/A</v>
      </c>
      <c r="Q315" s="130"/>
      <c r="R315" s="128">
        <v>98.93</v>
      </c>
      <c r="S315" s="130"/>
      <c r="T315" s="130"/>
      <c r="U315" s="131"/>
    </row>
    <row r="316" spans="1:21" ht="15.75" hidden="1" thickBot="1">
      <c r="A316" s="45">
        <v>1133</v>
      </c>
      <c r="B316" s="123"/>
      <c r="C316" s="123"/>
      <c r="D316" s="123"/>
      <c r="E316" s="123"/>
      <c r="F316" s="123"/>
      <c r="G316" s="127" t="s">
        <v>110</v>
      </c>
      <c r="H316" s="128">
        <v>2004</v>
      </c>
      <c r="I316" s="128" t="s">
        <v>97</v>
      </c>
      <c r="J316" s="128">
        <f t="shared" si="8"/>
        <v>1</v>
      </c>
      <c r="K316" s="128" t="s">
        <v>158</v>
      </c>
      <c r="L316" s="128" t="s">
        <v>30</v>
      </c>
      <c r="M316" s="129" t="s">
        <v>1065</v>
      </c>
      <c r="N316" s="129" t="s">
        <v>32</v>
      </c>
      <c r="O316" s="129" t="s">
        <v>32</v>
      </c>
      <c r="P316" s="129" t="str">
        <f t="shared" si="9"/>
        <v>Y</v>
      </c>
      <c r="Q316" s="130"/>
      <c r="R316" s="128">
        <v>95.24</v>
      </c>
      <c r="S316" s="130"/>
      <c r="T316" s="130"/>
      <c r="U316" s="131"/>
    </row>
    <row r="317" spans="1:21" ht="15.75" hidden="1" thickBot="1">
      <c r="A317" s="45">
        <v>1134</v>
      </c>
      <c r="B317" s="123"/>
      <c r="C317" s="123"/>
      <c r="D317" s="123"/>
      <c r="E317" s="123"/>
      <c r="F317" s="123"/>
      <c r="G317" s="127" t="s">
        <v>110</v>
      </c>
      <c r="H317" s="128">
        <v>2004</v>
      </c>
      <c r="I317" s="128" t="s">
        <v>138</v>
      </c>
      <c r="J317" s="128">
        <f t="shared" si="8"/>
        <v>1</v>
      </c>
      <c r="K317" s="128" t="s">
        <v>137</v>
      </c>
      <c r="L317" s="128" t="s">
        <v>30</v>
      </c>
      <c r="M317" s="129" t="s">
        <v>1065</v>
      </c>
      <c r="N317" s="129" t="s">
        <v>32</v>
      </c>
      <c r="O317" s="129" t="s">
        <v>32</v>
      </c>
      <c r="P317" s="129" t="str">
        <f t="shared" si="9"/>
        <v>Y</v>
      </c>
      <c r="Q317" s="130"/>
      <c r="R317" s="128">
        <v>99.32</v>
      </c>
      <c r="S317" s="130"/>
      <c r="T317" s="130"/>
      <c r="U317" s="131"/>
    </row>
    <row r="318" spans="1:21" ht="15.75" thickBot="1">
      <c r="A318" s="45">
        <v>1135</v>
      </c>
      <c r="B318" s="123"/>
      <c r="C318" s="123"/>
      <c r="D318" s="123"/>
      <c r="E318" s="123"/>
      <c r="F318" s="123"/>
      <c r="G318" s="127" t="s">
        <v>110</v>
      </c>
      <c r="H318" s="128">
        <v>2004</v>
      </c>
      <c r="I318" s="128" t="s">
        <v>82</v>
      </c>
      <c r="J318" s="128">
        <f t="shared" si="8"/>
        <v>3</v>
      </c>
      <c r="K318" s="128" t="s">
        <v>176</v>
      </c>
      <c r="L318" s="128" t="s">
        <v>30</v>
      </c>
      <c r="M318" s="129" t="s">
        <v>201</v>
      </c>
      <c r="N318" s="129" t="s">
        <v>28</v>
      </c>
      <c r="O318" s="129"/>
      <c r="P318" s="129" t="str">
        <f t="shared" si="9"/>
        <v/>
      </c>
      <c r="Q318" s="128" t="s">
        <v>1367</v>
      </c>
      <c r="R318" s="128">
        <v>20.18</v>
      </c>
      <c r="S318" s="130"/>
      <c r="T318" s="130" t="s">
        <v>998</v>
      </c>
      <c r="U318" s="146"/>
    </row>
    <row r="319" spans="1:21" ht="15.75" thickBot="1">
      <c r="A319" s="45">
        <v>1135</v>
      </c>
      <c r="B319" s="123"/>
      <c r="C319" s="123"/>
      <c r="D319" s="123"/>
      <c r="E319" s="123"/>
      <c r="F319" s="123"/>
      <c r="G319" s="127" t="s">
        <v>110</v>
      </c>
      <c r="H319" s="128">
        <v>2004</v>
      </c>
      <c r="I319" s="128" t="s">
        <v>82</v>
      </c>
      <c r="J319" s="128">
        <f t="shared" si="8"/>
        <v>3</v>
      </c>
      <c r="K319" s="128" t="s">
        <v>140</v>
      </c>
      <c r="L319" s="128" t="s">
        <v>30</v>
      </c>
      <c r="M319" s="129" t="s">
        <v>201</v>
      </c>
      <c r="N319" s="129" t="s">
        <v>32</v>
      </c>
      <c r="O319" s="129"/>
      <c r="P319" s="129" t="str">
        <f t="shared" si="9"/>
        <v/>
      </c>
      <c r="Q319" s="130"/>
      <c r="R319" s="128">
        <v>68.2</v>
      </c>
      <c r="S319" s="130"/>
      <c r="T319" s="130"/>
      <c r="U319" s="131"/>
    </row>
    <row r="320" spans="1:21" ht="15.75" thickBot="1">
      <c r="A320" s="45">
        <v>1135</v>
      </c>
      <c r="B320" s="123"/>
      <c r="C320" s="123"/>
      <c r="D320" s="123"/>
      <c r="E320" s="123"/>
      <c r="F320" s="123"/>
      <c r="G320" s="127" t="s">
        <v>110</v>
      </c>
      <c r="H320" s="128">
        <v>2004</v>
      </c>
      <c r="I320" s="128" t="s">
        <v>82</v>
      </c>
      <c r="J320" s="128">
        <f t="shared" si="8"/>
        <v>3</v>
      </c>
      <c r="K320" s="128" t="s">
        <v>1368</v>
      </c>
      <c r="L320" s="128" t="s">
        <v>30</v>
      </c>
      <c r="M320" s="129" t="s">
        <v>1003</v>
      </c>
      <c r="N320" s="129" t="s">
        <v>28</v>
      </c>
      <c r="O320" s="129"/>
      <c r="P320" s="129" t="str">
        <f t="shared" si="9"/>
        <v/>
      </c>
      <c r="Q320" s="130"/>
      <c r="R320" s="128">
        <v>11.38</v>
      </c>
      <c r="S320" s="130"/>
      <c r="T320" s="130" t="s">
        <v>31</v>
      </c>
      <c r="U320" s="131"/>
    </row>
    <row r="321" spans="1:21" ht="15.75" thickBot="1">
      <c r="A321" s="45">
        <v>1136</v>
      </c>
      <c r="B321" s="123"/>
      <c r="C321" s="123"/>
      <c r="D321" s="123"/>
      <c r="E321" s="123"/>
      <c r="F321" s="123"/>
      <c r="G321" s="127" t="s">
        <v>110</v>
      </c>
      <c r="H321" s="128">
        <v>2004</v>
      </c>
      <c r="I321" s="128" t="s">
        <v>141</v>
      </c>
      <c r="J321" s="128">
        <f t="shared" si="8"/>
        <v>2</v>
      </c>
      <c r="K321" s="128" t="s">
        <v>159</v>
      </c>
      <c r="L321" s="128" t="s">
        <v>40</v>
      </c>
      <c r="M321" s="129" t="s">
        <v>201</v>
      </c>
      <c r="N321" s="129" t="s">
        <v>32</v>
      </c>
      <c r="O321" s="129"/>
      <c r="P321" s="129" t="str">
        <f t="shared" si="9"/>
        <v/>
      </c>
      <c r="Q321" s="130"/>
      <c r="R321" s="128">
        <v>56.34</v>
      </c>
      <c r="S321" s="130"/>
      <c r="T321" s="130"/>
      <c r="U321" s="131"/>
    </row>
    <row r="322" spans="1:21" ht="15.75" thickBot="1">
      <c r="A322" s="45">
        <v>1136</v>
      </c>
      <c r="B322" s="123"/>
      <c r="C322" s="123"/>
      <c r="D322" s="123"/>
      <c r="E322" s="123"/>
      <c r="F322" s="123"/>
      <c r="G322" s="127" t="s">
        <v>110</v>
      </c>
      <c r="H322" s="128">
        <v>2004</v>
      </c>
      <c r="I322" s="128" t="s">
        <v>141</v>
      </c>
      <c r="J322" s="128">
        <f t="shared" ref="J322:J385" si="10">COUNTIF(A$2:A$2215, A322)</f>
        <v>2</v>
      </c>
      <c r="K322" s="128" t="s">
        <v>1369</v>
      </c>
      <c r="L322" s="128" t="s">
        <v>30</v>
      </c>
      <c r="M322" s="129" t="s">
        <v>1003</v>
      </c>
      <c r="N322" s="129" t="s">
        <v>28</v>
      </c>
      <c r="O322" s="129"/>
      <c r="P322" s="129" t="str">
        <f t="shared" si="9"/>
        <v/>
      </c>
      <c r="Q322" s="128" t="s">
        <v>1370</v>
      </c>
      <c r="R322" s="128">
        <v>43.35</v>
      </c>
      <c r="S322" s="130"/>
      <c r="T322" s="130" t="s">
        <v>31</v>
      </c>
      <c r="U322" s="131"/>
    </row>
    <row r="323" spans="1:21" ht="15.75" thickBot="1">
      <c r="A323" s="45">
        <v>1126</v>
      </c>
      <c r="B323" s="46"/>
      <c r="C323" s="47"/>
      <c r="D323" s="47"/>
      <c r="E323" s="123"/>
      <c r="F323" s="123"/>
      <c r="G323" s="127" t="s">
        <v>110</v>
      </c>
      <c r="H323" s="121">
        <v>2005</v>
      </c>
      <c r="I323" s="121" t="s">
        <v>91</v>
      </c>
      <c r="J323" s="128">
        <f t="shared" si="10"/>
        <v>9</v>
      </c>
      <c r="K323" s="128"/>
      <c r="L323" s="128"/>
      <c r="M323" s="129"/>
      <c r="N323" s="129"/>
      <c r="O323" s="129"/>
      <c r="P323" s="129" t="str">
        <f t="shared" ref="P323:P386" si="11">IF(O323="N", "N/A", IF(AND(N323="N",  O323="Y"), "N", IF(AND(O323="Y", N323="Y"), "Y", "")))</f>
        <v/>
      </c>
      <c r="Q323" s="128"/>
      <c r="R323" s="128"/>
      <c r="S323" s="130"/>
      <c r="T323" s="130"/>
      <c r="U323" s="131"/>
    </row>
    <row r="324" spans="1:21" ht="15.75" thickBot="1">
      <c r="A324" s="45">
        <v>1126</v>
      </c>
      <c r="B324" s="46"/>
      <c r="C324" s="47"/>
      <c r="D324" s="47"/>
      <c r="E324" s="123"/>
      <c r="F324" s="123"/>
      <c r="G324" s="127" t="s">
        <v>110</v>
      </c>
      <c r="H324" s="121">
        <v>2005</v>
      </c>
      <c r="I324" s="121" t="s">
        <v>91</v>
      </c>
      <c r="J324" s="128">
        <f t="shared" si="10"/>
        <v>9</v>
      </c>
      <c r="K324" s="128"/>
      <c r="L324" s="128"/>
      <c r="M324" s="129"/>
      <c r="N324" s="129"/>
      <c r="O324" s="129"/>
      <c r="P324" s="129" t="str">
        <f t="shared" si="11"/>
        <v/>
      </c>
      <c r="Q324" s="128"/>
      <c r="R324" s="128"/>
      <c r="S324" s="130"/>
      <c r="T324" s="130"/>
      <c r="U324" s="131"/>
    </row>
    <row r="325" spans="1:21" ht="15.75" thickBot="1">
      <c r="A325" s="45">
        <v>1126</v>
      </c>
      <c r="B325" s="46"/>
      <c r="C325" s="47"/>
      <c r="D325" s="47"/>
      <c r="E325" s="123"/>
      <c r="F325" s="123"/>
      <c r="G325" s="127" t="s">
        <v>110</v>
      </c>
      <c r="H325" s="121">
        <v>2005</v>
      </c>
      <c r="I325" s="121" t="s">
        <v>91</v>
      </c>
      <c r="J325" s="128">
        <f t="shared" si="10"/>
        <v>9</v>
      </c>
      <c r="K325" s="128"/>
      <c r="L325" s="128"/>
      <c r="M325" s="129"/>
      <c r="N325" s="129"/>
      <c r="O325" s="129"/>
      <c r="P325" s="129" t="str">
        <f t="shared" si="11"/>
        <v/>
      </c>
      <c r="Q325" s="128"/>
      <c r="R325" s="128"/>
      <c r="S325" s="130"/>
      <c r="T325" s="130"/>
      <c r="U325" s="131"/>
    </row>
    <row r="326" spans="1:21" ht="15.75" thickBot="1">
      <c r="A326" s="45">
        <v>1126</v>
      </c>
      <c r="B326" s="46"/>
      <c r="C326" s="47"/>
      <c r="D326" s="47"/>
      <c r="E326" s="123"/>
      <c r="F326" s="123"/>
      <c r="G326" s="127" t="s">
        <v>110</v>
      </c>
      <c r="H326" s="121">
        <v>2005</v>
      </c>
      <c r="I326" s="121" t="s">
        <v>91</v>
      </c>
      <c r="J326" s="128">
        <f t="shared" si="10"/>
        <v>9</v>
      </c>
      <c r="K326" s="128"/>
      <c r="L326" s="128"/>
      <c r="M326" s="129"/>
      <c r="N326" s="129"/>
      <c r="O326" s="129"/>
      <c r="P326" s="129" t="str">
        <f t="shared" si="11"/>
        <v/>
      </c>
      <c r="Q326" s="128"/>
      <c r="R326" s="128"/>
      <c r="S326" s="130"/>
      <c r="T326" s="130"/>
      <c r="U326" s="131"/>
    </row>
    <row r="327" spans="1:21" ht="15.75" thickBot="1">
      <c r="A327" s="45">
        <v>1126</v>
      </c>
      <c r="B327" s="46"/>
      <c r="C327" s="47"/>
      <c r="D327" s="47"/>
      <c r="E327" s="123"/>
      <c r="F327" s="123"/>
      <c r="G327" s="127" t="s">
        <v>110</v>
      </c>
      <c r="H327" s="121">
        <v>2005</v>
      </c>
      <c r="I327" s="121" t="s">
        <v>91</v>
      </c>
      <c r="J327" s="128">
        <f t="shared" si="10"/>
        <v>9</v>
      </c>
      <c r="K327" s="128"/>
      <c r="L327" s="128"/>
      <c r="M327" s="129"/>
      <c r="N327" s="129"/>
      <c r="O327" s="129"/>
      <c r="P327" s="129" t="str">
        <f t="shared" si="11"/>
        <v/>
      </c>
      <c r="Q327" s="128"/>
      <c r="R327" s="128"/>
      <c r="S327" s="130"/>
      <c r="T327" s="130"/>
      <c r="U327" s="131"/>
    </row>
    <row r="328" spans="1:21" ht="15.75" thickBot="1">
      <c r="A328" s="45">
        <v>1126</v>
      </c>
      <c r="B328" s="46"/>
      <c r="C328" s="47"/>
      <c r="D328" s="47"/>
      <c r="E328" s="123"/>
      <c r="F328" s="123"/>
      <c r="G328" s="127" t="s">
        <v>110</v>
      </c>
      <c r="H328" s="121">
        <v>2005</v>
      </c>
      <c r="I328" s="121" t="s">
        <v>91</v>
      </c>
      <c r="J328" s="128">
        <f t="shared" si="10"/>
        <v>9</v>
      </c>
      <c r="K328" s="128"/>
      <c r="L328" s="128"/>
      <c r="M328" s="129"/>
      <c r="N328" s="129"/>
      <c r="O328" s="129"/>
      <c r="P328" s="129" t="str">
        <f t="shared" si="11"/>
        <v/>
      </c>
      <c r="Q328" s="128"/>
      <c r="R328" s="128"/>
      <c r="S328" s="130"/>
      <c r="T328" s="130"/>
      <c r="U328" s="131"/>
    </row>
    <row r="329" spans="1:21" ht="15.75" thickBot="1">
      <c r="A329" s="45">
        <v>1126</v>
      </c>
      <c r="B329" s="46"/>
      <c r="C329" s="47"/>
      <c r="D329" s="47"/>
      <c r="E329" s="123"/>
      <c r="F329" s="123"/>
      <c r="G329" s="127" t="s">
        <v>110</v>
      </c>
      <c r="H329" s="121">
        <v>2005</v>
      </c>
      <c r="I329" s="121" t="s">
        <v>91</v>
      </c>
      <c r="J329" s="128">
        <f t="shared" si="10"/>
        <v>9</v>
      </c>
      <c r="K329" s="128"/>
      <c r="L329" s="128"/>
      <c r="M329" s="129"/>
      <c r="N329" s="129"/>
      <c r="O329" s="129"/>
      <c r="P329" s="129" t="str">
        <f t="shared" si="11"/>
        <v/>
      </c>
      <c r="Q329" s="128"/>
      <c r="R329" s="128"/>
      <c r="S329" s="130"/>
      <c r="T329" s="130"/>
      <c r="U329" s="131"/>
    </row>
    <row r="330" spans="1:21" ht="15.75" thickBot="1">
      <c r="A330" s="45">
        <v>1126</v>
      </c>
      <c r="B330" s="46"/>
      <c r="C330" s="47"/>
      <c r="D330" s="47"/>
      <c r="E330" s="123"/>
      <c r="F330" s="123"/>
      <c r="G330" s="127" t="s">
        <v>110</v>
      </c>
      <c r="H330" s="121">
        <v>2005</v>
      </c>
      <c r="I330" s="121" t="s">
        <v>91</v>
      </c>
      <c r="J330" s="128">
        <f t="shared" si="10"/>
        <v>9</v>
      </c>
      <c r="K330" s="128"/>
      <c r="L330" s="128"/>
      <c r="M330" s="129"/>
      <c r="N330" s="129"/>
      <c r="O330" s="129"/>
      <c r="P330" s="129" t="str">
        <f t="shared" si="11"/>
        <v/>
      </c>
      <c r="Q330" s="128"/>
      <c r="R330" s="128"/>
      <c r="S330" s="130"/>
      <c r="T330" s="130"/>
      <c r="U330" s="131"/>
    </row>
    <row r="331" spans="1:21" ht="15.75" thickBot="1">
      <c r="A331" s="45">
        <v>1126</v>
      </c>
      <c r="B331" s="46"/>
      <c r="C331" s="47"/>
      <c r="D331" s="47"/>
      <c r="E331" s="123"/>
      <c r="F331" s="123"/>
      <c r="G331" s="127" t="s">
        <v>110</v>
      </c>
      <c r="H331" s="121">
        <v>2005</v>
      </c>
      <c r="I331" s="121" t="s">
        <v>91</v>
      </c>
      <c r="J331" s="128">
        <f t="shared" si="10"/>
        <v>9</v>
      </c>
      <c r="K331" s="128"/>
      <c r="L331" s="128"/>
      <c r="M331" s="129"/>
      <c r="N331" s="129"/>
      <c r="O331" s="129"/>
      <c r="P331" s="129" t="str">
        <f t="shared" si="11"/>
        <v/>
      </c>
      <c r="Q331" s="128"/>
      <c r="R331" s="128"/>
      <c r="S331" s="130"/>
      <c r="T331" s="130"/>
      <c r="U331" s="131"/>
    </row>
    <row r="332" spans="1:21" ht="15.75" thickBot="1">
      <c r="A332" s="45">
        <v>1118</v>
      </c>
      <c r="B332" s="123"/>
      <c r="C332" s="123"/>
      <c r="D332" s="123"/>
      <c r="E332" s="123"/>
      <c r="F332" s="123"/>
      <c r="G332" s="127" t="s">
        <v>110</v>
      </c>
      <c r="H332" s="128">
        <v>2006</v>
      </c>
      <c r="I332" s="128" t="s">
        <v>160</v>
      </c>
      <c r="J332" s="128">
        <f t="shared" si="10"/>
        <v>4</v>
      </c>
      <c r="K332" s="128" t="s">
        <v>169</v>
      </c>
      <c r="L332" s="128" t="s">
        <v>30</v>
      </c>
      <c r="M332" s="129" t="s">
        <v>1004</v>
      </c>
      <c r="N332" s="129" t="s">
        <v>28</v>
      </c>
      <c r="O332" s="129" t="s">
        <v>32</v>
      </c>
      <c r="P332" s="129" t="str">
        <f t="shared" si="11"/>
        <v>N</v>
      </c>
      <c r="Q332" s="130"/>
      <c r="R332" s="128">
        <v>30.95</v>
      </c>
      <c r="S332" s="128">
        <v>33.42</v>
      </c>
      <c r="T332" s="130"/>
      <c r="U332" s="131"/>
    </row>
    <row r="333" spans="1:21" ht="15.75" thickBot="1">
      <c r="A333" s="45">
        <v>1118</v>
      </c>
      <c r="B333" s="123"/>
      <c r="C333" s="123"/>
      <c r="D333" s="123"/>
      <c r="E333" s="123"/>
      <c r="F333" s="123"/>
      <c r="G333" s="127" t="s">
        <v>110</v>
      </c>
      <c r="H333" s="128">
        <v>2006</v>
      </c>
      <c r="I333" s="128" t="s">
        <v>160</v>
      </c>
      <c r="J333" s="128">
        <f t="shared" si="10"/>
        <v>4</v>
      </c>
      <c r="K333" s="128" t="s">
        <v>143</v>
      </c>
      <c r="L333" s="128" t="s">
        <v>40</v>
      </c>
      <c r="M333" s="129" t="s">
        <v>31</v>
      </c>
      <c r="N333" s="129" t="s">
        <v>32</v>
      </c>
      <c r="O333" s="129"/>
      <c r="P333" s="129" t="str">
        <f t="shared" si="11"/>
        <v/>
      </c>
      <c r="Q333" s="130"/>
      <c r="R333" s="128">
        <v>39.19</v>
      </c>
      <c r="S333" s="128">
        <v>65.78</v>
      </c>
      <c r="T333" s="130"/>
      <c r="U333" s="131"/>
    </row>
    <row r="334" spans="1:21" ht="15.75" thickBot="1">
      <c r="A334" s="45">
        <v>1118</v>
      </c>
      <c r="B334" s="123"/>
      <c r="C334" s="123"/>
      <c r="D334" s="123"/>
      <c r="E334" s="123"/>
      <c r="F334" s="123"/>
      <c r="G334" s="127" t="s">
        <v>110</v>
      </c>
      <c r="H334" s="128">
        <v>2006</v>
      </c>
      <c r="I334" s="128" t="s">
        <v>160</v>
      </c>
      <c r="J334" s="128">
        <f t="shared" si="10"/>
        <v>4</v>
      </c>
      <c r="K334" s="128" t="s">
        <v>1371</v>
      </c>
      <c r="L334" s="128" t="s">
        <v>30</v>
      </c>
      <c r="M334" s="129" t="s">
        <v>31</v>
      </c>
      <c r="N334" s="129" t="s">
        <v>28</v>
      </c>
      <c r="O334" s="129"/>
      <c r="P334" s="129" t="str">
        <f t="shared" si="11"/>
        <v/>
      </c>
      <c r="Q334" s="130"/>
      <c r="R334" s="128">
        <v>15.69</v>
      </c>
      <c r="S334" s="130"/>
      <c r="T334" s="130"/>
      <c r="U334" s="131"/>
    </row>
    <row r="335" spans="1:21" ht="15.75" thickBot="1">
      <c r="A335" s="45">
        <v>1118</v>
      </c>
      <c r="B335" s="123"/>
      <c r="C335" s="123"/>
      <c r="D335" s="123"/>
      <c r="E335" s="123"/>
      <c r="F335" s="123"/>
      <c r="G335" s="127" t="s">
        <v>110</v>
      </c>
      <c r="H335" s="128">
        <v>2006</v>
      </c>
      <c r="I335" s="128" t="s">
        <v>160</v>
      </c>
      <c r="J335" s="128">
        <f t="shared" si="10"/>
        <v>4</v>
      </c>
      <c r="K335" s="128" t="s">
        <v>1372</v>
      </c>
      <c r="L335" s="128" t="s">
        <v>30</v>
      </c>
      <c r="M335" s="129" t="s">
        <v>1004</v>
      </c>
      <c r="N335" s="129" t="s">
        <v>28</v>
      </c>
      <c r="O335" s="129"/>
      <c r="P335" s="129" t="str">
        <f t="shared" si="11"/>
        <v/>
      </c>
      <c r="Q335" s="130"/>
      <c r="R335" s="128">
        <v>13.86</v>
      </c>
      <c r="S335" s="130"/>
      <c r="T335" s="130"/>
      <c r="U335" s="131"/>
    </row>
    <row r="336" spans="1:21" ht="15.75" hidden="1" thickBot="1">
      <c r="A336" s="45">
        <v>1119</v>
      </c>
      <c r="B336" s="123"/>
      <c r="C336" s="123"/>
      <c r="D336" s="123"/>
      <c r="E336" s="123"/>
      <c r="F336" s="123"/>
      <c r="G336" s="127" t="s">
        <v>110</v>
      </c>
      <c r="H336" s="128">
        <v>2006</v>
      </c>
      <c r="I336" s="128" t="s">
        <v>38</v>
      </c>
      <c r="J336" s="128">
        <f t="shared" si="10"/>
        <v>6</v>
      </c>
      <c r="K336" s="128" t="s">
        <v>1373</v>
      </c>
      <c r="L336" s="128" t="s">
        <v>30</v>
      </c>
      <c r="M336" s="129" t="s">
        <v>31</v>
      </c>
      <c r="N336" s="129" t="s">
        <v>28</v>
      </c>
      <c r="O336" s="129" t="s">
        <v>28</v>
      </c>
      <c r="P336" s="129" t="str">
        <f t="shared" si="11"/>
        <v>N/A</v>
      </c>
      <c r="Q336" s="132" t="s">
        <v>1374</v>
      </c>
      <c r="R336" s="128">
        <v>1.02</v>
      </c>
      <c r="S336" s="130"/>
      <c r="T336" s="130" t="s">
        <v>31</v>
      </c>
      <c r="U336" s="131"/>
    </row>
    <row r="337" spans="1:21" ht="15.75" hidden="1" thickBot="1">
      <c r="A337" s="45">
        <v>1119</v>
      </c>
      <c r="B337" s="123"/>
      <c r="C337" s="123"/>
      <c r="D337" s="123"/>
      <c r="E337" s="123"/>
      <c r="F337" s="123"/>
      <c r="G337" s="127" t="s">
        <v>110</v>
      </c>
      <c r="H337" s="128">
        <v>2006</v>
      </c>
      <c r="I337" s="128" t="s">
        <v>38</v>
      </c>
      <c r="J337" s="128">
        <f t="shared" si="10"/>
        <v>6</v>
      </c>
      <c r="K337" s="128" t="s">
        <v>1365</v>
      </c>
      <c r="L337" s="128" t="s">
        <v>30</v>
      </c>
      <c r="M337" s="129" t="s">
        <v>1065</v>
      </c>
      <c r="N337" s="129" t="s">
        <v>28</v>
      </c>
      <c r="O337" s="129" t="s">
        <v>28</v>
      </c>
      <c r="P337" s="129" t="str">
        <f t="shared" si="11"/>
        <v>N/A</v>
      </c>
      <c r="Q337" s="128" t="s">
        <v>1375</v>
      </c>
      <c r="R337" s="128">
        <v>0.41</v>
      </c>
      <c r="S337" s="130"/>
      <c r="T337" s="130" t="s">
        <v>1376</v>
      </c>
      <c r="U337" s="131"/>
    </row>
    <row r="338" spans="1:21" ht="15.75" hidden="1" thickBot="1">
      <c r="A338" s="45">
        <v>1119</v>
      </c>
      <c r="B338" s="123"/>
      <c r="C338" s="123"/>
      <c r="D338" s="123"/>
      <c r="E338" s="123"/>
      <c r="F338" s="123"/>
      <c r="G338" s="127" t="s">
        <v>110</v>
      </c>
      <c r="H338" s="128">
        <v>2006</v>
      </c>
      <c r="I338" s="128" t="s">
        <v>38</v>
      </c>
      <c r="J338" s="128">
        <f t="shared" si="10"/>
        <v>6</v>
      </c>
      <c r="K338" s="128" t="s">
        <v>158</v>
      </c>
      <c r="L338" s="128" t="s">
        <v>30</v>
      </c>
      <c r="M338" s="129" t="s">
        <v>1065</v>
      </c>
      <c r="N338" s="129" t="s">
        <v>28</v>
      </c>
      <c r="O338" s="129" t="s">
        <v>28</v>
      </c>
      <c r="P338" s="129" t="str">
        <f t="shared" si="11"/>
        <v>N/A</v>
      </c>
      <c r="Q338" s="130"/>
      <c r="R338" s="128">
        <v>32.979999999999997</v>
      </c>
      <c r="S338" s="130"/>
      <c r="T338" s="130"/>
      <c r="U338" s="131"/>
    </row>
    <row r="339" spans="1:21" ht="15.75" hidden="1" thickBot="1">
      <c r="A339" s="45">
        <v>1119</v>
      </c>
      <c r="B339" s="123"/>
      <c r="C339" s="123"/>
      <c r="D339" s="123"/>
      <c r="E339" s="123"/>
      <c r="F339" s="123"/>
      <c r="G339" s="127" t="s">
        <v>110</v>
      </c>
      <c r="H339" s="128">
        <v>2006</v>
      </c>
      <c r="I339" s="128" t="s">
        <v>38</v>
      </c>
      <c r="J339" s="128">
        <f t="shared" si="10"/>
        <v>6</v>
      </c>
      <c r="K339" s="128" t="s">
        <v>157</v>
      </c>
      <c r="L339" s="128" t="s">
        <v>40</v>
      </c>
      <c r="M339" s="129" t="s">
        <v>31</v>
      </c>
      <c r="N339" s="129" t="s">
        <v>28</v>
      </c>
      <c r="O339" s="129" t="s">
        <v>28</v>
      </c>
      <c r="P339" s="129" t="str">
        <f t="shared" si="11"/>
        <v>N/A</v>
      </c>
      <c r="Q339" s="130"/>
      <c r="R339" s="128">
        <v>13.06</v>
      </c>
      <c r="S339" s="130"/>
      <c r="T339" s="130"/>
      <c r="U339" s="131"/>
    </row>
    <row r="340" spans="1:21" ht="15.75" hidden="1" thickBot="1">
      <c r="A340" s="45">
        <v>1119</v>
      </c>
      <c r="B340" s="123"/>
      <c r="C340" s="123"/>
      <c r="D340" s="123"/>
      <c r="E340" s="123"/>
      <c r="F340" s="123"/>
      <c r="G340" s="127" t="s">
        <v>110</v>
      </c>
      <c r="H340" s="128">
        <v>2006</v>
      </c>
      <c r="I340" s="128" t="s">
        <v>38</v>
      </c>
      <c r="J340" s="128">
        <f t="shared" si="10"/>
        <v>6</v>
      </c>
      <c r="K340" s="128" t="s">
        <v>1377</v>
      </c>
      <c r="L340" s="128" t="s">
        <v>30</v>
      </c>
      <c r="M340" s="129" t="s">
        <v>31</v>
      </c>
      <c r="N340" s="129" t="s">
        <v>28</v>
      </c>
      <c r="O340" s="129" t="s">
        <v>28</v>
      </c>
      <c r="P340" s="129" t="str">
        <f t="shared" si="11"/>
        <v>N/A</v>
      </c>
      <c r="Q340" s="128" t="s">
        <v>1378</v>
      </c>
      <c r="R340" s="128">
        <v>2.19</v>
      </c>
      <c r="S340" s="130"/>
      <c r="T340" s="130" t="s">
        <v>31</v>
      </c>
      <c r="U340" s="131"/>
    </row>
    <row r="341" spans="1:21" ht="15.75" hidden="1" thickBot="1">
      <c r="A341" s="45">
        <v>1119</v>
      </c>
      <c r="B341" s="123"/>
      <c r="C341" s="123"/>
      <c r="D341" s="123"/>
      <c r="E341" s="123"/>
      <c r="F341" s="123"/>
      <c r="G341" s="127" t="s">
        <v>110</v>
      </c>
      <c r="H341" s="128">
        <v>2006</v>
      </c>
      <c r="I341" s="128" t="s">
        <v>38</v>
      </c>
      <c r="J341" s="128">
        <f t="shared" si="10"/>
        <v>6</v>
      </c>
      <c r="K341" s="128" t="s">
        <v>161</v>
      </c>
      <c r="L341" s="128" t="s">
        <v>30</v>
      </c>
      <c r="M341" s="129" t="s">
        <v>201</v>
      </c>
      <c r="N341" s="129" t="s">
        <v>32</v>
      </c>
      <c r="O341" s="129" t="s">
        <v>28</v>
      </c>
      <c r="P341" s="129" t="str">
        <f t="shared" si="11"/>
        <v>N/A</v>
      </c>
      <c r="Q341" s="132" t="s">
        <v>1379</v>
      </c>
      <c r="R341" s="128">
        <v>50.19</v>
      </c>
      <c r="S341" s="130"/>
      <c r="T341" s="130" t="s">
        <v>998</v>
      </c>
      <c r="U341" s="131"/>
    </row>
    <row r="342" spans="1:21" ht="15.75" hidden="1" thickBot="1">
      <c r="A342" s="45">
        <v>1120</v>
      </c>
      <c r="B342" s="123"/>
      <c r="C342" s="123"/>
      <c r="D342" s="123"/>
      <c r="E342" s="123"/>
      <c r="F342" s="123"/>
      <c r="G342" s="127" t="s">
        <v>110</v>
      </c>
      <c r="H342" s="128">
        <v>2006</v>
      </c>
      <c r="I342" s="128" t="s">
        <v>91</v>
      </c>
      <c r="J342" s="128">
        <f t="shared" si="10"/>
        <v>3</v>
      </c>
      <c r="K342" s="128" t="s">
        <v>1380</v>
      </c>
      <c r="L342" s="128" t="s">
        <v>40</v>
      </c>
      <c r="M342" s="129" t="s">
        <v>34</v>
      </c>
      <c r="N342" s="129" t="s">
        <v>28</v>
      </c>
      <c r="O342" s="129" t="s">
        <v>28</v>
      </c>
      <c r="P342" s="129" t="str">
        <f t="shared" si="11"/>
        <v>N/A</v>
      </c>
      <c r="Q342" s="130"/>
      <c r="R342" s="128">
        <v>39.31</v>
      </c>
      <c r="S342" s="128">
        <v>46.63</v>
      </c>
      <c r="T342" s="130"/>
      <c r="U342" s="131" t="s">
        <v>1381</v>
      </c>
    </row>
    <row r="343" spans="1:21" ht="15.75" hidden="1" thickBot="1">
      <c r="A343" s="45">
        <v>1120</v>
      </c>
      <c r="B343" s="123"/>
      <c r="C343" s="123"/>
      <c r="D343" s="123"/>
      <c r="E343" s="123"/>
      <c r="F343" s="123"/>
      <c r="G343" s="127" t="s">
        <v>110</v>
      </c>
      <c r="H343" s="128">
        <v>2006</v>
      </c>
      <c r="I343" s="128" t="s">
        <v>91</v>
      </c>
      <c r="J343" s="128">
        <f t="shared" si="10"/>
        <v>3</v>
      </c>
      <c r="K343" s="128" t="s">
        <v>146</v>
      </c>
      <c r="L343" s="128" t="s">
        <v>40</v>
      </c>
      <c r="M343" s="129" t="s">
        <v>31</v>
      </c>
      <c r="N343" s="129" t="s">
        <v>32</v>
      </c>
      <c r="O343" s="129" t="s">
        <v>32</v>
      </c>
      <c r="P343" s="129" t="str">
        <f t="shared" si="11"/>
        <v>Y</v>
      </c>
      <c r="Q343" s="132" t="s">
        <v>1382</v>
      </c>
      <c r="R343" s="128">
        <v>46.13</v>
      </c>
      <c r="S343" s="128">
        <v>52.96</v>
      </c>
      <c r="T343" s="130" t="s">
        <v>31</v>
      </c>
      <c r="U343" s="131"/>
    </row>
    <row r="344" spans="1:21" ht="15.75" hidden="1" thickBot="1">
      <c r="A344" s="45">
        <v>1120</v>
      </c>
      <c r="B344" s="123"/>
      <c r="C344" s="123"/>
      <c r="D344" s="123"/>
      <c r="E344" s="123"/>
      <c r="F344" s="123"/>
      <c r="G344" s="127" t="s">
        <v>110</v>
      </c>
      <c r="H344" s="128">
        <v>2006</v>
      </c>
      <c r="I344" s="128" t="s">
        <v>91</v>
      </c>
      <c r="J344" s="128">
        <f t="shared" si="10"/>
        <v>3</v>
      </c>
      <c r="K344" s="128" t="s">
        <v>1383</v>
      </c>
      <c r="L344" s="128" t="s">
        <v>40</v>
      </c>
      <c r="M344" s="129" t="s">
        <v>34</v>
      </c>
      <c r="N344" s="129" t="s">
        <v>28</v>
      </c>
      <c r="O344" s="129" t="s">
        <v>28</v>
      </c>
      <c r="P344" s="129" t="str">
        <f t="shared" si="11"/>
        <v>N/A</v>
      </c>
      <c r="Q344" s="128" t="s">
        <v>1384</v>
      </c>
      <c r="R344" s="128">
        <v>14.45</v>
      </c>
      <c r="S344" s="130"/>
      <c r="T344" s="130" t="s">
        <v>998</v>
      </c>
      <c r="U344" s="131"/>
    </row>
    <row r="345" spans="1:21" ht="15.75" thickBot="1">
      <c r="A345" s="45">
        <v>1121</v>
      </c>
      <c r="B345" s="123"/>
      <c r="C345" s="123"/>
      <c r="D345" s="123"/>
      <c r="E345" s="123"/>
      <c r="F345" s="123"/>
      <c r="G345" s="127" t="s">
        <v>110</v>
      </c>
      <c r="H345" s="128">
        <v>2006</v>
      </c>
      <c r="I345" s="128" t="s">
        <v>116</v>
      </c>
      <c r="J345" s="128">
        <f t="shared" si="10"/>
        <v>1</v>
      </c>
      <c r="K345" s="128" t="s">
        <v>147</v>
      </c>
      <c r="L345" s="128" t="s">
        <v>30</v>
      </c>
      <c r="M345" s="129" t="s">
        <v>34</v>
      </c>
      <c r="N345" s="129" t="s">
        <v>32</v>
      </c>
      <c r="O345" s="129"/>
      <c r="P345" s="129" t="str">
        <f t="shared" si="11"/>
        <v/>
      </c>
      <c r="Q345" s="130"/>
      <c r="R345" s="128">
        <v>99.17</v>
      </c>
      <c r="S345" s="130"/>
      <c r="T345" s="130"/>
      <c r="U345" s="131"/>
    </row>
    <row r="346" spans="1:21" ht="15.75" hidden="1" thickBot="1">
      <c r="A346" s="45">
        <v>1122</v>
      </c>
      <c r="B346" s="123"/>
      <c r="C346" s="123"/>
      <c r="D346" s="123"/>
      <c r="E346" s="123"/>
      <c r="F346" s="123"/>
      <c r="G346" s="127" t="s">
        <v>110</v>
      </c>
      <c r="H346" s="128">
        <v>2006</v>
      </c>
      <c r="I346" s="128" t="s">
        <v>79</v>
      </c>
      <c r="J346" s="128">
        <f t="shared" si="10"/>
        <v>1</v>
      </c>
      <c r="K346" s="128" t="s">
        <v>145</v>
      </c>
      <c r="L346" s="128" t="s">
        <v>40</v>
      </c>
      <c r="M346" s="129" t="s">
        <v>34</v>
      </c>
      <c r="N346" s="129" t="s">
        <v>32</v>
      </c>
      <c r="O346" s="129" t="s">
        <v>32</v>
      </c>
      <c r="P346" s="129" t="str">
        <f t="shared" si="11"/>
        <v>Y</v>
      </c>
      <c r="Q346" s="130"/>
      <c r="R346" s="128">
        <v>97.93</v>
      </c>
      <c r="S346" s="130"/>
      <c r="T346" s="130"/>
      <c r="U346" s="131"/>
    </row>
    <row r="347" spans="1:21" ht="15.75" thickBot="1">
      <c r="A347" s="45">
        <v>1123</v>
      </c>
      <c r="B347" s="123"/>
      <c r="C347" s="123"/>
      <c r="D347" s="123"/>
      <c r="E347" s="123"/>
      <c r="F347" s="123"/>
      <c r="G347" s="127" t="s">
        <v>110</v>
      </c>
      <c r="H347" s="128">
        <v>2006</v>
      </c>
      <c r="I347" s="128" t="s">
        <v>119</v>
      </c>
      <c r="J347" s="128">
        <f t="shared" si="10"/>
        <v>1</v>
      </c>
      <c r="K347" s="128" t="s">
        <v>148</v>
      </c>
      <c r="L347" s="128" t="s">
        <v>30</v>
      </c>
      <c r="M347" s="129" t="s">
        <v>34</v>
      </c>
      <c r="N347" s="129" t="s">
        <v>32</v>
      </c>
      <c r="O347" s="129"/>
      <c r="P347" s="129" t="str">
        <f t="shared" si="11"/>
        <v/>
      </c>
      <c r="Q347" s="130"/>
      <c r="R347" s="128">
        <v>99.01</v>
      </c>
      <c r="S347" s="130"/>
      <c r="T347" s="130"/>
      <c r="U347" s="131"/>
    </row>
    <row r="348" spans="1:21" ht="15.75" hidden="1" thickBot="1">
      <c r="A348" s="45">
        <v>1124</v>
      </c>
      <c r="B348" s="123"/>
      <c r="C348" s="123"/>
      <c r="D348" s="123"/>
      <c r="E348" s="123"/>
      <c r="F348" s="123"/>
      <c r="G348" s="127" t="s">
        <v>110</v>
      </c>
      <c r="H348" s="128">
        <v>2006</v>
      </c>
      <c r="I348" s="128" t="s">
        <v>100</v>
      </c>
      <c r="J348" s="128">
        <f t="shared" si="10"/>
        <v>3</v>
      </c>
      <c r="K348" s="128" t="s">
        <v>121</v>
      </c>
      <c r="L348" s="128" t="s">
        <v>40</v>
      </c>
      <c r="M348" s="129" t="s">
        <v>201</v>
      </c>
      <c r="N348" s="129" t="s">
        <v>32</v>
      </c>
      <c r="O348" s="129" t="s">
        <v>32</v>
      </c>
      <c r="P348" s="129" t="str">
        <f t="shared" si="11"/>
        <v>Y</v>
      </c>
      <c r="Q348" s="130"/>
      <c r="R348" s="128">
        <v>53.26</v>
      </c>
      <c r="S348" s="130"/>
      <c r="T348" s="130"/>
      <c r="U348" s="131"/>
    </row>
    <row r="349" spans="1:21" ht="15.75" hidden="1" thickBot="1">
      <c r="A349" s="45">
        <v>1124</v>
      </c>
      <c r="B349" s="123"/>
      <c r="C349" s="123"/>
      <c r="D349" s="123"/>
      <c r="E349" s="123"/>
      <c r="F349" s="123"/>
      <c r="G349" s="127" t="s">
        <v>110</v>
      </c>
      <c r="H349" s="128">
        <v>2006</v>
      </c>
      <c r="I349" s="128" t="s">
        <v>100</v>
      </c>
      <c r="J349" s="128">
        <f t="shared" si="10"/>
        <v>3</v>
      </c>
      <c r="K349" s="128" t="s">
        <v>1385</v>
      </c>
      <c r="L349" s="128" t="s">
        <v>40</v>
      </c>
      <c r="M349" s="129" t="s">
        <v>201</v>
      </c>
      <c r="N349" s="129" t="s">
        <v>28</v>
      </c>
      <c r="O349" s="129" t="s">
        <v>28</v>
      </c>
      <c r="P349" s="129" t="str">
        <f t="shared" si="11"/>
        <v>N/A</v>
      </c>
      <c r="Q349" s="130"/>
      <c r="R349" s="128">
        <v>34.909999999999997</v>
      </c>
      <c r="S349" s="130"/>
      <c r="T349" s="130"/>
      <c r="U349" s="131"/>
    </row>
    <row r="350" spans="1:21" ht="15.75" hidden="1" thickBot="1">
      <c r="A350" s="45">
        <v>1124</v>
      </c>
      <c r="B350" s="123"/>
      <c r="C350" s="123"/>
      <c r="D350" s="123"/>
      <c r="E350" s="123"/>
      <c r="F350" s="123"/>
      <c r="G350" s="127" t="s">
        <v>110</v>
      </c>
      <c r="H350" s="128">
        <v>2006</v>
      </c>
      <c r="I350" s="128" t="s">
        <v>100</v>
      </c>
      <c r="J350" s="128">
        <f t="shared" si="10"/>
        <v>3</v>
      </c>
      <c r="K350" s="128" t="s">
        <v>1363</v>
      </c>
      <c r="L350" s="128" t="s">
        <v>40</v>
      </c>
      <c r="M350" s="129" t="s">
        <v>31</v>
      </c>
      <c r="N350" s="129" t="s">
        <v>28</v>
      </c>
      <c r="O350" s="129" t="s">
        <v>28</v>
      </c>
      <c r="P350" s="129" t="str">
        <f t="shared" si="11"/>
        <v>N/A</v>
      </c>
      <c r="Q350" s="130"/>
      <c r="R350" s="128">
        <v>11.7</v>
      </c>
      <c r="S350" s="130"/>
      <c r="T350" s="130"/>
      <c r="U350" s="131"/>
    </row>
    <row r="351" spans="1:21" ht="15.75" thickBot="1">
      <c r="A351" s="45">
        <v>1125</v>
      </c>
      <c r="B351" s="123"/>
      <c r="C351" s="123"/>
      <c r="D351" s="123"/>
      <c r="E351" s="123"/>
      <c r="F351" s="123"/>
      <c r="G351" s="127" t="s">
        <v>110</v>
      </c>
      <c r="H351" s="128">
        <v>2006</v>
      </c>
      <c r="I351" s="128" t="s">
        <v>122</v>
      </c>
      <c r="J351" s="128">
        <f t="shared" si="10"/>
        <v>2</v>
      </c>
      <c r="K351" s="128" t="s">
        <v>149</v>
      </c>
      <c r="L351" s="128" t="s">
        <v>30</v>
      </c>
      <c r="M351" s="129" t="s">
        <v>1003</v>
      </c>
      <c r="N351" s="129" t="s">
        <v>32</v>
      </c>
      <c r="O351" s="129"/>
      <c r="P351" s="129" t="str">
        <f t="shared" si="11"/>
        <v/>
      </c>
      <c r="Q351" s="130"/>
      <c r="R351" s="128">
        <v>51.94</v>
      </c>
      <c r="S351" s="130"/>
      <c r="T351" s="130"/>
      <c r="U351" s="131"/>
    </row>
    <row r="352" spans="1:21" ht="15.75" thickBot="1">
      <c r="A352" s="45">
        <v>1125</v>
      </c>
      <c r="B352" s="123"/>
      <c r="C352" s="123"/>
      <c r="D352" s="123"/>
      <c r="E352" s="123"/>
      <c r="F352" s="123"/>
      <c r="G352" s="127" t="s">
        <v>110</v>
      </c>
      <c r="H352" s="128">
        <v>2006</v>
      </c>
      <c r="I352" s="128" t="s">
        <v>122</v>
      </c>
      <c r="J352" s="128">
        <f t="shared" si="10"/>
        <v>2</v>
      </c>
      <c r="K352" s="128" t="s">
        <v>1386</v>
      </c>
      <c r="L352" s="128" t="s">
        <v>40</v>
      </c>
      <c r="M352" s="129" t="s">
        <v>201</v>
      </c>
      <c r="N352" s="129" t="s">
        <v>28</v>
      </c>
      <c r="O352" s="129"/>
      <c r="P352" s="129" t="str">
        <f t="shared" si="11"/>
        <v/>
      </c>
      <c r="Q352" s="128" t="s">
        <v>1387</v>
      </c>
      <c r="R352" s="128">
        <v>47.8</v>
      </c>
      <c r="S352" s="130"/>
      <c r="T352" s="130" t="s">
        <v>998</v>
      </c>
      <c r="U352" s="131"/>
    </row>
    <row r="353" spans="1:21" ht="15.75" hidden="1" thickBot="1">
      <c r="A353" s="45">
        <v>1108</v>
      </c>
      <c r="B353" s="123"/>
      <c r="C353" s="123"/>
      <c r="D353" s="123"/>
      <c r="E353" s="123"/>
      <c r="F353" s="123"/>
      <c r="G353" s="127" t="s">
        <v>110</v>
      </c>
      <c r="H353" s="128">
        <v>2008</v>
      </c>
      <c r="I353" s="128" t="s">
        <v>154</v>
      </c>
      <c r="J353" s="128">
        <f t="shared" si="10"/>
        <v>5</v>
      </c>
      <c r="K353" s="128" t="s">
        <v>1388</v>
      </c>
      <c r="L353" s="128" t="s">
        <v>30</v>
      </c>
      <c r="M353" s="129" t="s">
        <v>31</v>
      </c>
      <c r="N353" s="129" t="s">
        <v>28</v>
      </c>
      <c r="O353" s="129" t="s">
        <v>28</v>
      </c>
      <c r="P353" s="129" t="str">
        <f t="shared" si="11"/>
        <v>N/A</v>
      </c>
      <c r="Q353" s="128" t="s">
        <v>1389</v>
      </c>
      <c r="R353" s="128">
        <v>7.5</v>
      </c>
      <c r="S353" s="130"/>
      <c r="T353" s="130" t="s">
        <v>31</v>
      </c>
      <c r="U353" s="131"/>
    </row>
    <row r="354" spans="1:21" ht="15.75" hidden="1" thickBot="1">
      <c r="A354" s="45">
        <v>1108</v>
      </c>
      <c r="B354" s="123"/>
      <c r="C354" s="123"/>
      <c r="D354" s="123"/>
      <c r="E354" s="123"/>
      <c r="F354" s="123"/>
      <c r="G354" s="127" t="s">
        <v>110</v>
      </c>
      <c r="H354" s="128">
        <v>2008</v>
      </c>
      <c r="I354" s="128" t="s">
        <v>154</v>
      </c>
      <c r="J354" s="128">
        <f t="shared" si="10"/>
        <v>5</v>
      </c>
      <c r="K354" s="128" t="s">
        <v>1390</v>
      </c>
      <c r="L354" s="128" t="s">
        <v>30</v>
      </c>
      <c r="M354" s="129" t="s">
        <v>31</v>
      </c>
      <c r="N354" s="129" t="s">
        <v>28</v>
      </c>
      <c r="O354" s="129" t="s">
        <v>28</v>
      </c>
      <c r="P354" s="129" t="str">
        <f t="shared" si="11"/>
        <v>N/A</v>
      </c>
      <c r="Q354" s="130"/>
      <c r="R354" s="128">
        <v>19.11</v>
      </c>
      <c r="S354" s="130"/>
      <c r="T354" s="130"/>
      <c r="U354" s="131" t="s">
        <v>1391</v>
      </c>
    </row>
    <row r="355" spans="1:21" ht="15.75" hidden="1" thickBot="1">
      <c r="A355" s="45">
        <v>1108</v>
      </c>
      <c r="B355" s="123"/>
      <c r="C355" s="123"/>
      <c r="D355" s="123"/>
      <c r="E355" s="123"/>
      <c r="F355" s="123"/>
      <c r="G355" s="127" t="s">
        <v>110</v>
      </c>
      <c r="H355" s="128">
        <v>2008</v>
      </c>
      <c r="I355" s="128" t="s">
        <v>154</v>
      </c>
      <c r="J355" s="128">
        <f t="shared" si="10"/>
        <v>5</v>
      </c>
      <c r="K355" s="128" t="s">
        <v>1392</v>
      </c>
      <c r="L355" s="128" t="s">
        <v>30</v>
      </c>
      <c r="M355" s="129" t="s">
        <v>201</v>
      </c>
      <c r="N355" s="129" t="s">
        <v>28</v>
      </c>
      <c r="O355" s="129" t="s">
        <v>28</v>
      </c>
      <c r="P355" s="129" t="str">
        <f t="shared" si="11"/>
        <v>N/A</v>
      </c>
      <c r="Q355" s="128" t="s">
        <v>1393</v>
      </c>
      <c r="R355" s="128">
        <v>10.85</v>
      </c>
      <c r="S355" s="130"/>
      <c r="T355" s="130" t="s">
        <v>1331</v>
      </c>
      <c r="U355" s="131" t="s">
        <v>1393</v>
      </c>
    </row>
    <row r="356" spans="1:21" ht="15.75" hidden="1" thickBot="1">
      <c r="A356" s="45">
        <v>1108</v>
      </c>
      <c r="B356" s="123"/>
      <c r="C356" s="123"/>
      <c r="D356" s="123"/>
      <c r="E356" s="123"/>
      <c r="F356" s="123"/>
      <c r="G356" s="127" t="s">
        <v>110</v>
      </c>
      <c r="H356" s="128">
        <v>2008</v>
      </c>
      <c r="I356" s="128" t="s">
        <v>154</v>
      </c>
      <c r="J356" s="128">
        <f t="shared" si="10"/>
        <v>5</v>
      </c>
      <c r="K356" s="128" t="s">
        <v>166</v>
      </c>
      <c r="L356" s="128" t="s">
        <v>40</v>
      </c>
      <c r="M356" s="129" t="s">
        <v>31</v>
      </c>
      <c r="N356" s="129" t="s">
        <v>28</v>
      </c>
      <c r="O356" s="129" t="s">
        <v>28</v>
      </c>
      <c r="P356" s="129" t="str">
        <f t="shared" si="11"/>
        <v>N/A</v>
      </c>
      <c r="Q356" s="128" t="s">
        <v>1394</v>
      </c>
      <c r="R356" s="128">
        <v>21.8</v>
      </c>
      <c r="S356" s="128">
        <v>37</v>
      </c>
      <c r="T356" s="130" t="s">
        <v>31</v>
      </c>
      <c r="U356" s="131"/>
    </row>
    <row r="357" spans="1:21" ht="15.75" hidden="1" thickBot="1">
      <c r="A357" s="45">
        <v>1108</v>
      </c>
      <c r="B357" s="123"/>
      <c r="C357" s="123"/>
      <c r="D357" s="123"/>
      <c r="E357" s="123"/>
      <c r="F357" s="123"/>
      <c r="G357" s="127" t="s">
        <v>110</v>
      </c>
      <c r="H357" s="128">
        <v>2008</v>
      </c>
      <c r="I357" s="128" t="s">
        <v>154</v>
      </c>
      <c r="J357" s="128">
        <f t="shared" si="10"/>
        <v>5</v>
      </c>
      <c r="K357" s="128" t="s">
        <v>127</v>
      </c>
      <c r="L357" s="128" t="s">
        <v>40</v>
      </c>
      <c r="M357" s="129" t="s">
        <v>31</v>
      </c>
      <c r="N357" s="129" t="s">
        <v>32</v>
      </c>
      <c r="O357" s="129" t="s">
        <v>28</v>
      </c>
      <c r="P357" s="129" t="str">
        <f t="shared" si="11"/>
        <v>N/A</v>
      </c>
      <c r="Q357" s="130"/>
      <c r="R357" s="128">
        <v>40.270000000000003</v>
      </c>
      <c r="S357" s="128">
        <v>62.07</v>
      </c>
      <c r="T357" s="130"/>
      <c r="U357" s="131" t="s">
        <v>1395</v>
      </c>
    </row>
    <row r="358" spans="1:21" ht="15.75" hidden="1" thickBot="1">
      <c r="A358" s="45">
        <v>1109</v>
      </c>
      <c r="B358" s="123"/>
      <c r="C358" s="123"/>
      <c r="D358" s="123"/>
      <c r="E358" s="123"/>
      <c r="F358" s="123"/>
      <c r="G358" s="127" t="s">
        <v>110</v>
      </c>
      <c r="H358" s="128">
        <v>2008</v>
      </c>
      <c r="I358" s="128" t="s">
        <v>124</v>
      </c>
      <c r="J358" s="128">
        <f t="shared" si="10"/>
        <v>1</v>
      </c>
      <c r="K358" s="128" t="s">
        <v>153</v>
      </c>
      <c r="L358" s="128" t="s">
        <v>30</v>
      </c>
      <c r="M358" s="129" t="s">
        <v>31</v>
      </c>
      <c r="N358" s="129" t="s">
        <v>32</v>
      </c>
      <c r="O358" s="129" t="s">
        <v>32</v>
      </c>
      <c r="P358" s="129" t="str">
        <f t="shared" si="11"/>
        <v>Y</v>
      </c>
      <c r="Q358" s="132" t="s">
        <v>1396</v>
      </c>
      <c r="R358" s="128">
        <v>98.12</v>
      </c>
      <c r="S358" s="130"/>
      <c r="T358" s="130" t="s">
        <v>31</v>
      </c>
      <c r="U358" s="131"/>
    </row>
    <row r="359" spans="1:21" ht="15.75" hidden="1" thickBot="1">
      <c r="A359" s="45">
        <v>1110</v>
      </c>
      <c r="B359" s="123"/>
      <c r="C359" s="123"/>
      <c r="D359" s="123"/>
      <c r="E359" s="123"/>
      <c r="F359" s="123"/>
      <c r="G359" s="127" t="s">
        <v>110</v>
      </c>
      <c r="H359" s="128">
        <v>2008</v>
      </c>
      <c r="I359" s="128" t="s">
        <v>76</v>
      </c>
      <c r="J359" s="128">
        <f t="shared" si="10"/>
        <v>2</v>
      </c>
      <c r="K359" s="128" t="s">
        <v>156</v>
      </c>
      <c r="L359" s="128" t="s">
        <v>40</v>
      </c>
      <c r="M359" s="129" t="s">
        <v>31</v>
      </c>
      <c r="N359" s="129" t="s">
        <v>32</v>
      </c>
      <c r="O359" s="129" t="s">
        <v>32</v>
      </c>
      <c r="P359" s="129" t="str">
        <f t="shared" si="11"/>
        <v>Y</v>
      </c>
      <c r="Q359" s="130"/>
      <c r="R359" s="128">
        <v>72.650000000000006</v>
      </c>
      <c r="S359" s="130"/>
      <c r="T359" s="130"/>
      <c r="U359" s="131"/>
    </row>
    <row r="360" spans="1:21" ht="15.75" hidden="1" thickBot="1">
      <c r="A360" s="45">
        <v>1110</v>
      </c>
      <c r="B360" s="123"/>
      <c r="C360" s="123"/>
      <c r="D360" s="123"/>
      <c r="E360" s="123"/>
      <c r="F360" s="123"/>
      <c r="G360" s="127" t="s">
        <v>110</v>
      </c>
      <c r="H360" s="128">
        <v>2008</v>
      </c>
      <c r="I360" s="128" t="s">
        <v>76</v>
      </c>
      <c r="J360" s="128">
        <f t="shared" si="10"/>
        <v>2</v>
      </c>
      <c r="K360" s="128" t="s">
        <v>1397</v>
      </c>
      <c r="L360" s="128" t="s">
        <v>30</v>
      </c>
      <c r="M360" s="129" t="s">
        <v>201</v>
      </c>
      <c r="N360" s="129" t="s">
        <v>28</v>
      </c>
      <c r="O360" s="129" t="s">
        <v>28</v>
      </c>
      <c r="P360" s="129" t="str">
        <f t="shared" si="11"/>
        <v>N/A</v>
      </c>
      <c r="Q360" s="132" t="s">
        <v>1398</v>
      </c>
      <c r="R360" s="128">
        <v>27.06</v>
      </c>
      <c r="S360" s="130"/>
      <c r="T360" s="130" t="s">
        <v>1331</v>
      </c>
      <c r="U360" s="131"/>
    </row>
    <row r="361" spans="1:21" ht="15.75" thickBot="1">
      <c r="A361" s="45">
        <v>1111</v>
      </c>
      <c r="B361" s="123"/>
      <c r="C361" s="123"/>
      <c r="D361" s="123"/>
      <c r="E361" s="123"/>
      <c r="F361" s="123"/>
      <c r="G361" s="127" t="s">
        <v>110</v>
      </c>
      <c r="H361" s="128">
        <v>2008</v>
      </c>
      <c r="I361" s="128" t="s">
        <v>130</v>
      </c>
      <c r="J361" s="128">
        <f t="shared" si="10"/>
        <v>3</v>
      </c>
      <c r="K361" s="128" t="s">
        <v>1399</v>
      </c>
      <c r="L361" s="128" t="s">
        <v>30</v>
      </c>
      <c r="M361" s="129" t="s">
        <v>31</v>
      </c>
      <c r="N361" s="129" t="s">
        <v>28</v>
      </c>
      <c r="O361" s="129"/>
      <c r="P361" s="129" t="str">
        <f t="shared" si="11"/>
        <v/>
      </c>
      <c r="Q361" s="128" t="s">
        <v>1400</v>
      </c>
      <c r="R361" s="128">
        <v>34.78</v>
      </c>
      <c r="S361" s="130"/>
      <c r="T361" s="130" t="s">
        <v>998</v>
      </c>
      <c r="U361" s="131"/>
    </row>
    <row r="362" spans="1:21" ht="15.75" thickBot="1">
      <c r="A362" s="45">
        <v>1111</v>
      </c>
      <c r="B362" s="123"/>
      <c r="C362" s="123"/>
      <c r="D362" s="123"/>
      <c r="E362" s="123"/>
      <c r="F362" s="123"/>
      <c r="G362" s="127" t="s">
        <v>110</v>
      </c>
      <c r="H362" s="128">
        <v>2008</v>
      </c>
      <c r="I362" s="128" t="s">
        <v>130</v>
      </c>
      <c r="J362" s="128">
        <f t="shared" si="10"/>
        <v>3</v>
      </c>
      <c r="K362" s="128" t="s">
        <v>131</v>
      </c>
      <c r="L362" s="128" t="s">
        <v>40</v>
      </c>
      <c r="M362" s="129" t="s">
        <v>31</v>
      </c>
      <c r="N362" s="129" t="s">
        <v>32</v>
      </c>
      <c r="O362" s="129"/>
      <c r="P362" s="129" t="str">
        <f t="shared" si="11"/>
        <v/>
      </c>
      <c r="Q362" s="130"/>
      <c r="R362" s="128">
        <v>56.35</v>
      </c>
      <c r="S362" s="130"/>
      <c r="T362" s="130"/>
      <c r="U362" s="131"/>
    </row>
    <row r="363" spans="1:21" ht="15.75" thickBot="1">
      <c r="A363" s="45">
        <v>1111</v>
      </c>
      <c r="B363" s="123"/>
      <c r="C363" s="123"/>
      <c r="D363" s="123"/>
      <c r="E363" s="123"/>
      <c r="F363" s="123"/>
      <c r="G363" s="127" t="s">
        <v>110</v>
      </c>
      <c r="H363" s="128">
        <v>2008</v>
      </c>
      <c r="I363" s="128" t="s">
        <v>130</v>
      </c>
      <c r="J363" s="128">
        <f t="shared" si="10"/>
        <v>3</v>
      </c>
      <c r="K363" s="128" t="s">
        <v>1401</v>
      </c>
      <c r="L363" s="128" t="s">
        <v>40</v>
      </c>
      <c r="M363" s="129" t="s">
        <v>1003</v>
      </c>
      <c r="N363" s="129" t="s">
        <v>28</v>
      </c>
      <c r="O363" s="129"/>
      <c r="P363" s="129" t="str">
        <f t="shared" si="11"/>
        <v/>
      </c>
      <c r="Q363" s="128" t="s">
        <v>1402</v>
      </c>
      <c r="R363" s="128">
        <v>8.35</v>
      </c>
      <c r="S363" s="130"/>
      <c r="T363" s="130" t="s">
        <v>998</v>
      </c>
      <c r="U363" s="131"/>
    </row>
    <row r="364" spans="1:21" ht="15.75" hidden="1" thickBot="1">
      <c r="A364" s="45">
        <v>1112</v>
      </c>
      <c r="B364" s="123"/>
      <c r="C364" s="123"/>
      <c r="D364" s="123"/>
      <c r="E364" s="123"/>
      <c r="F364" s="123"/>
      <c r="G364" s="127" t="s">
        <v>110</v>
      </c>
      <c r="H364" s="128">
        <v>2008</v>
      </c>
      <c r="I364" s="128" t="s">
        <v>94</v>
      </c>
      <c r="J364" s="128">
        <f t="shared" si="10"/>
        <v>3</v>
      </c>
      <c r="K364" s="128" t="s">
        <v>167</v>
      </c>
      <c r="L364" s="128" t="s">
        <v>30</v>
      </c>
      <c r="M364" s="129" t="s">
        <v>201</v>
      </c>
      <c r="N364" s="129" t="s">
        <v>28</v>
      </c>
      <c r="O364" s="129" t="s">
        <v>28</v>
      </c>
      <c r="P364" s="129" t="str">
        <f t="shared" si="11"/>
        <v>N/A</v>
      </c>
      <c r="Q364" s="132" t="s">
        <v>1403</v>
      </c>
      <c r="R364" s="128">
        <v>21.04</v>
      </c>
      <c r="S364" s="130"/>
      <c r="T364" s="130" t="s">
        <v>998</v>
      </c>
      <c r="U364" s="131"/>
    </row>
    <row r="365" spans="1:21" ht="15.75" hidden="1" thickBot="1">
      <c r="A365" s="45">
        <v>1112</v>
      </c>
      <c r="B365" s="123"/>
      <c r="C365" s="123"/>
      <c r="D365" s="123"/>
      <c r="E365" s="123"/>
      <c r="F365" s="123"/>
      <c r="G365" s="127" t="s">
        <v>110</v>
      </c>
      <c r="H365" s="128">
        <v>2008</v>
      </c>
      <c r="I365" s="128" t="s">
        <v>94</v>
      </c>
      <c r="J365" s="128">
        <f t="shared" si="10"/>
        <v>3</v>
      </c>
      <c r="K365" s="128" t="s">
        <v>157</v>
      </c>
      <c r="L365" s="128" t="s">
        <v>40</v>
      </c>
      <c r="M365" s="129" t="s">
        <v>31</v>
      </c>
      <c r="N365" s="129" t="s">
        <v>32</v>
      </c>
      <c r="O365" s="129" t="s">
        <v>32</v>
      </c>
      <c r="P365" s="129" t="str">
        <f t="shared" si="11"/>
        <v>Y</v>
      </c>
      <c r="Q365" s="132" t="s">
        <v>1404</v>
      </c>
      <c r="R365" s="128">
        <v>51.3</v>
      </c>
      <c r="S365" s="130"/>
      <c r="T365" s="130" t="s">
        <v>31</v>
      </c>
      <c r="U365" s="131"/>
    </row>
    <row r="366" spans="1:21" ht="15.75" hidden="1" thickBot="1">
      <c r="A366" s="45">
        <v>1112</v>
      </c>
      <c r="B366" s="123"/>
      <c r="C366" s="123"/>
      <c r="D366" s="123"/>
      <c r="E366" s="123"/>
      <c r="F366" s="123"/>
      <c r="G366" s="127" t="s">
        <v>110</v>
      </c>
      <c r="H366" s="128">
        <v>2008</v>
      </c>
      <c r="I366" s="128" t="s">
        <v>94</v>
      </c>
      <c r="J366" s="128">
        <f t="shared" si="10"/>
        <v>3</v>
      </c>
      <c r="K366" s="128" t="s">
        <v>1405</v>
      </c>
      <c r="L366" s="128" t="s">
        <v>30</v>
      </c>
      <c r="M366" s="129" t="s">
        <v>31</v>
      </c>
      <c r="N366" s="129" t="s">
        <v>28</v>
      </c>
      <c r="O366" s="129" t="s">
        <v>28</v>
      </c>
      <c r="P366" s="129" t="str">
        <f t="shared" si="11"/>
        <v>N/A</v>
      </c>
      <c r="Q366" s="130"/>
      <c r="R366" s="128">
        <v>27.09</v>
      </c>
      <c r="S366" s="130"/>
      <c r="T366" s="130"/>
      <c r="U366" s="131"/>
    </row>
    <row r="367" spans="1:21" ht="15.75" thickBot="1">
      <c r="A367" s="45">
        <v>1113</v>
      </c>
      <c r="B367" s="123"/>
      <c r="C367" s="123"/>
      <c r="D367" s="123"/>
      <c r="E367" s="123"/>
      <c r="F367" s="123"/>
      <c r="G367" s="127" t="s">
        <v>110</v>
      </c>
      <c r="H367" s="128">
        <v>2008</v>
      </c>
      <c r="I367" s="128" t="s">
        <v>134</v>
      </c>
      <c r="J367" s="128">
        <f t="shared" si="10"/>
        <v>2</v>
      </c>
      <c r="K367" s="128" t="s">
        <v>136</v>
      </c>
      <c r="L367" s="128" t="s">
        <v>40</v>
      </c>
      <c r="M367" s="129" t="s">
        <v>201</v>
      </c>
      <c r="N367" s="129" t="s">
        <v>32</v>
      </c>
      <c r="O367" s="129"/>
      <c r="P367" s="129" t="str">
        <f t="shared" si="11"/>
        <v/>
      </c>
      <c r="Q367" s="130"/>
      <c r="R367" s="128">
        <v>51.91</v>
      </c>
      <c r="S367" s="130"/>
      <c r="T367" s="130"/>
      <c r="U367" s="131"/>
    </row>
    <row r="368" spans="1:21" ht="15.75" thickBot="1">
      <c r="A368" s="45">
        <v>1113</v>
      </c>
      <c r="B368" s="123"/>
      <c r="C368" s="123"/>
      <c r="D368" s="123"/>
      <c r="E368" s="123"/>
      <c r="F368" s="123"/>
      <c r="G368" s="127" t="s">
        <v>110</v>
      </c>
      <c r="H368" s="128">
        <v>2008</v>
      </c>
      <c r="I368" s="128" t="s">
        <v>134</v>
      </c>
      <c r="J368" s="128">
        <f t="shared" si="10"/>
        <v>2</v>
      </c>
      <c r="K368" s="128" t="s">
        <v>1406</v>
      </c>
      <c r="L368" s="128" t="s">
        <v>30</v>
      </c>
      <c r="M368" s="129" t="s">
        <v>201</v>
      </c>
      <c r="N368" s="129" t="s">
        <v>28</v>
      </c>
      <c r="O368" s="129"/>
      <c r="P368" s="129" t="str">
        <f t="shared" si="11"/>
        <v/>
      </c>
      <c r="Q368" s="128" t="s">
        <v>1400</v>
      </c>
      <c r="R368" s="128">
        <v>46.98</v>
      </c>
      <c r="S368" s="130"/>
      <c r="T368" s="130" t="s">
        <v>998</v>
      </c>
      <c r="U368" s="131"/>
    </row>
    <row r="369" spans="1:21" ht="15.75" hidden="1" thickBot="1">
      <c r="A369" s="45">
        <v>1114</v>
      </c>
      <c r="B369" s="123"/>
      <c r="C369" s="123"/>
      <c r="D369" s="123"/>
      <c r="E369" s="123"/>
      <c r="F369" s="123"/>
      <c r="G369" s="127" t="s">
        <v>110</v>
      </c>
      <c r="H369" s="128">
        <v>2008</v>
      </c>
      <c r="I369" s="128" t="s">
        <v>97</v>
      </c>
      <c r="J369" s="128">
        <f t="shared" si="10"/>
        <v>4</v>
      </c>
      <c r="K369" s="128" t="s">
        <v>1347</v>
      </c>
      <c r="L369" s="128" t="s">
        <v>40</v>
      </c>
      <c r="M369" s="129" t="s">
        <v>201</v>
      </c>
      <c r="N369" s="129" t="s">
        <v>28</v>
      </c>
      <c r="O369" s="129" t="s">
        <v>28</v>
      </c>
      <c r="P369" s="129" t="str">
        <f t="shared" si="11"/>
        <v>N/A</v>
      </c>
      <c r="Q369" s="128" t="s">
        <v>1400</v>
      </c>
      <c r="R369" s="128">
        <v>7.37</v>
      </c>
      <c r="S369" s="130"/>
      <c r="T369" s="130" t="s">
        <v>1407</v>
      </c>
      <c r="U369" s="131"/>
    </row>
    <row r="370" spans="1:21" ht="15.75" hidden="1" thickBot="1">
      <c r="A370" s="45">
        <v>1114</v>
      </c>
      <c r="B370" s="123"/>
      <c r="C370" s="123"/>
      <c r="D370" s="123"/>
      <c r="E370" s="123"/>
      <c r="F370" s="123"/>
      <c r="G370" s="127" t="s">
        <v>110</v>
      </c>
      <c r="H370" s="128">
        <v>2008</v>
      </c>
      <c r="I370" s="128" t="s">
        <v>97</v>
      </c>
      <c r="J370" s="128">
        <f t="shared" si="10"/>
        <v>4</v>
      </c>
      <c r="K370" s="128" t="s">
        <v>1408</v>
      </c>
      <c r="L370" s="128" t="s">
        <v>30</v>
      </c>
      <c r="M370" s="129" t="s">
        <v>201</v>
      </c>
      <c r="N370" s="129" t="s">
        <v>28</v>
      </c>
      <c r="O370" s="129" t="s">
        <v>28</v>
      </c>
      <c r="P370" s="129" t="str">
        <f t="shared" si="11"/>
        <v>N/A</v>
      </c>
      <c r="Q370" s="128" t="s">
        <v>1400</v>
      </c>
      <c r="R370" s="128">
        <v>5.33</v>
      </c>
      <c r="S370" s="130"/>
      <c r="T370" s="130" t="s">
        <v>1407</v>
      </c>
      <c r="U370" s="131"/>
    </row>
    <row r="371" spans="1:21" ht="15.75" hidden="1" thickBot="1">
      <c r="A371" s="45">
        <v>1114</v>
      </c>
      <c r="B371" s="123"/>
      <c r="C371" s="123"/>
      <c r="D371" s="123"/>
      <c r="E371" s="123"/>
      <c r="F371" s="123"/>
      <c r="G371" s="127" t="s">
        <v>110</v>
      </c>
      <c r="H371" s="128">
        <v>2008</v>
      </c>
      <c r="I371" s="128" t="s">
        <v>97</v>
      </c>
      <c r="J371" s="128">
        <f t="shared" si="10"/>
        <v>4</v>
      </c>
      <c r="K371" s="128" t="s">
        <v>158</v>
      </c>
      <c r="L371" s="128" t="s">
        <v>30</v>
      </c>
      <c r="M371" s="129" t="s">
        <v>1065</v>
      </c>
      <c r="N371" s="129" t="s">
        <v>32</v>
      </c>
      <c r="O371" s="129" t="s">
        <v>32</v>
      </c>
      <c r="P371" s="129" t="str">
        <f t="shared" si="11"/>
        <v>Y</v>
      </c>
      <c r="Q371" s="130"/>
      <c r="R371" s="128">
        <v>53.79</v>
      </c>
      <c r="S371" s="130"/>
      <c r="T371" s="130"/>
      <c r="U371" s="131"/>
    </row>
    <row r="372" spans="1:21" ht="26.25" hidden="1" thickBot="1">
      <c r="A372" s="45">
        <v>1114</v>
      </c>
      <c r="B372" s="123"/>
      <c r="C372" s="123"/>
      <c r="D372" s="123"/>
      <c r="E372" s="123"/>
      <c r="F372" s="123"/>
      <c r="G372" s="127" t="s">
        <v>110</v>
      </c>
      <c r="H372" s="128">
        <v>2008</v>
      </c>
      <c r="I372" s="128" t="s">
        <v>97</v>
      </c>
      <c r="J372" s="128">
        <f t="shared" si="10"/>
        <v>4</v>
      </c>
      <c r="K372" s="128" t="s">
        <v>1409</v>
      </c>
      <c r="L372" s="128" t="s">
        <v>30</v>
      </c>
      <c r="M372" s="129" t="s">
        <v>1065</v>
      </c>
      <c r="N372" s="129" t="s">
        <v>28</v>
      </c>
      <c r="O372" s="129" t="s">
        <v>28</v>
      </c>
      <c r="P372" s="129" t="str">
        <f t="shared" si="11"/>
        <v>N/A</v>
      </c>
      <c r="Q372" s="132" t="s">
        <v>1410</v>
      </c>
      <c r="R372" s="128">
        <v>33.19</v>
      </c>
      <c r="S372" s="130"/>
      <c r="T372" s="130" t="s">
        <v>1153</v>
      </c>
      <c r="U372" s="131"/>
    </row>
    <row r="373" spans="1:21" ht="15.75" hidden="1" thickBot="1">
      <c r="A373" s="45">
        <v>1115</v>
      </c>
      <c r="B373" s="123"/>
      <c r="C373" s="123"/>
      <c r="D373" s="123"/>
      <c r="E373" s="123"/>
      <c r="F373" s="123"/>
      <c r="G373" s="127" t="s">
        <v>110</v>
      </c>
      <c r="H373" s="128">
        <v>2008</v>
      </c>
      <c r="I373" s="128" t="s">
        <v>138</v>
      </c>
      <c r="J373" s="128">
        <f t="shared" si="10"/>
        <v>1</v>
      </c>
      <c r="K373" s="128" t="s">
        <v>137</v>
      </c>
      <c r="L373" s="128" t="s">
        <v>30</v>
      </c>
      <c r="M373" s="129" t="s">
        <v>1003</v>
      </c>
      <c r="N373" s="129" t="s">
        <v>32</v>
      </c>
      <c r="O373" s="129" t="s">
        <v>32</v>
      </c>
      <c r="P373" s="129" t="str">
        <f t="shared" si="11"/>
        <v>Y</v>
      </c>
      <c r="Q373" s="130"/>
      <c r="R373" s="128">
        <v>98.47</v>
      </c>
      <c r="S373" s="130"/>
      <c r="T373" s="130"/>
      <c r="U373" s="131"/>
    </row>
    <row r="374" spans="1:21" ht="15.75" hidden="1" thickBot="1">
      <c r="A374" s="45">
        <v>1116</v>
      </c>
      <c r="B374" s="123"/>
      <c r="C374" s="123"/>
      <c r="D374" s="123"/>
      <c r="E374" s="123"/>
      <c r="F374" s="123"/>
      <c r="G374" s="127" t="s">
        <v>110</v>
      </c>
      <c r="H374" s="128">
        <v>2008</v>
      </c>
      <c r="I374" s="128" t="s">
        <v>82</v>
      </c>
      <c r="J374" s="128">
        <f t="shared" si="10"/>
        <v>2</v>
      </c>
      <c r="K374" s="128" t="s">
        <v>1411</v>
      </c>
      <c r="L374" s="128" t="s">
        <v>30</v>
      </c>
      <c r="M374" s="129" t="s">
        <v>201</v>
      </c>
      <c r="N374" s="129" t="s">
        <v>28</v>
      </c>
      <c r="O374" s="129" t="s">
        <v>28</v>
      </c>
      <c r="P374" s="129" t="str">
        <f t="shared" si="11"/>
        <v>N/A</v>
      </c>
      <c r="Q374" s="128" t="s">
        <v>1400</v>
      </c>
      <c r="R374" s="128">
        <v>37</v>
      </c>
      <c r="S374" s="130"/>
      <c r="T374" s="130" t="s">
        <v>1407</v>
      </c>
      <c r="U374" s="131" t="s">
        <v>1412</v>
      </c>
    </row>
    <row r="375" spans="1:21" ht="15.75" hidden="1" thickBot="1">
      <c r="A375" s="45">
        <v>1116</v>
      </c>
      <c r="B375" s="123"/>
      <c r="C375" s="123"/>
      <c r="D375" s="123"/>
      <c r="E375" s="123"/>
      <c r="F375" s="123"/>
      <c r="G375" s="127" t="s">
        <v>110</v>
      </c>
      <c r="H375" s="128">
        <v>2008</v>
      </c>
      <c r="I375" s="128" t="s">
        <v>82</v>
      </c>
      <c r="J375" s="128">
        <f t="shared" si="10"/>
        <v>2</v>
      </c>
      <c r="K375" s="128" t="s">
        <v>140</v>
      </c>
      <c r="L375" s="128" t="s">
        <v>30</v>
      </c>
      <c r="M375" s="129" t="s">
        <v>201</v>
      </c>
      <c r="N375" s="129" t="s">
        <v>32</v>
      </c>
      <c r="O375" s="129" t="s">
        <v>32</v>
      </c>
      <c r="P375" s="129" t="str">
        <f t="shared" si="11"/>
        <v>Y</v>
      </c>
      <c r="Q375" s="132" t="s">
        <v>1400</v>
      </c>
      <c r="R375" s="128">
        <v>62.44</v>
      </c>
      <c r="S375" s="130"/>
      <c r="T375" s="130" t="s">
        <v>1407</v>
      </c>
      <c r="U375" s="131"/>
    </row>
    <row r="376" spans="1:21" ht="15.75" hidden="1" thickBot="1">
      <c r="A376" s="45">
        <v>1117</v>
      </c>
      <c r="B376" s="123"/>
      <c r="C376" s="123"/>
      <c r="D376" s="123"/>
      <c r="E376" s="123"/>
      <c r="F376" s="123"/>
      <c r="G376" s="127" t="s">
        <v>110</v>
      </c>
      <c r="H376" s="128">
        <v>2008</v>
      </c>
      <c r="I376" s="128" t="s">
        <v>141</v>
      </c>
      <c r="J376" s="128">
        <f t="shared" si="10"/>
        <v>3</v>
      </c>
      <c r="K376" s="128" t="s">
        <v>159</v>
      </c>
      <c r="L376" s="128" t="s">
        <v>40</v>
      </c>
      <c r="M376" s="129" t="s">
        <v>201</v>
      </c>
      <c r="N376" s="129" t="s">
        <v>32</v>
      </c>
      <c r="O376" s="129" t="s">
        <v>32</v>
      </c>
      <c r="P376" s="129" t="str">
        <f t="shared" si="11"/>
        <v>Y</v>
      </c>
      <c r="Q376" s="130"/>
      <c r="R376" s="128">
        <v>50.41</v>
      </c>
      <c r="S376" s="130"/>
      <c r="T376" s="130"/>
      <c r="U376" s="131"/>
    </row>
    <row r="377" spans="1:21" ht="15.75" thickBot="1">
      <c r="A377" s="45">
        <v>1117</v>
      </c>
      <c r="B377" s="123"/>
      <c r="C377" s="123"/>
      <c r="D377" s="123"/>
      <c r="E377" s="123"/>
      <c r="F377" s="123"/>
      <c r="G377" s="127" t="s">
        <v>110</v>
      </c>
      <c r="H377" s="128">
        <v>2008</v>
      </c>
      <c r="I377" s="128" t="s">
        <v>141</v>
      </c>
      <c r="J377" s="128">
        <f t="shared" si="10"/>
        <v>3</v>
      </c>
      <c r="K377" s="128" t="s">
        <v>1413</v>
      </c>
      <c r="L377" s="128" t="s">
        <v>40</v>
      </c>
      <c r="M377" s="129" t="s">
        <v>201</v>
      </c>
      <c r="N377" s="129" t="s">
        <v>28</v>
      </c>
      <c r="O377" s="129"/>
      <c r="P377" s="129" t="str">
        <f t="shared" si="11"/>
        <v/>
      </c>
      <c r="Q377" s="130"/>
      <c r="R377" s="128">
        <v>16.57</v>
      </c>
      <c r="S377" s="130"/>
      <c r="T377" s="130"/>
      <c r="U377" s="131"/>
    </row>
    <row r="378" spans="1:21" ht="15.75" thickBot="1">
      <c r="A378" s="45">
        <v>1117</v>
      </c>
      <c r="B378" s="123"/>
      <c r="C378" s="123"/>
      <c r="D378" s="123"/>
      <c r="E378" s="123"/>
      <c r="F378" s="123"/>
      <c r="G378" s="127" t="s">
        <v>110</v>
      </c>
      <c r="H378" s="128">
        <v>2008</v>
      </c>
      <c r="I378" s="128" t="s">
        <v>141</v>
      </c>
      <c r="J378" s="128">
        <f t="shared" si="10"/>
        <v>3</v>
      </c>
      <c r="K378" s="128" t="s">
        <v>1414</v>
      </c>
      <c r="L378" s="128" t="s">
        <v>40</v>
      </c>
      <c r="M378" s="129" t="s">
        <v>201</v>
      </c>
      <c r="N378" s="129" t="s">
        <v>28</v>
      </c>
      <c r="O378" s="129"/>
      <c r="P378" s="129" t="str">
        <f t="shared" si="11"/>
        <v/>
      </c>
      <c r="Q378" s="128" t="s">
        <v>1400</v>
      </c>
      <c r="R378" s="128">
        <v>32.28</v>
      </c>
      <c r="S378" s="130"/>
      <c r="T378" s="130" t="s">
        <v>998</v>
      </c>
      <c r="U378" s="131"/>
    </row>
    <row r="379" spans="1:21" ht="15.75" hidden="1" thickBot="1">
      <c r="A379" s="45">
        <v>1100</v>
      </c>
      <c r="B379" s="123"/>
      <c r="C379" s="123"/>
      <c r="D379" s="123"/>
      <c r="E379" s="123"/>
      <c r="F379" s="123"/>
      <c r="G379" s="127" t="s">
        <v>110</v>
      </c>
      <c r="H379" s="128">
        <v>2010</v>
      </c>
      <c r="I379" s="128" t="s">
        <v>38</v>
      </c>
      <c r="J379" s="128">
        <f t="shared" si="10"/>
        <v>10</v>
      </c>
      <c r="K379" s="128" t="s">
        <v>1415</v>
      </c>
      <c r="L379" s="128" t="s">
        <v>30</v>
      </c>
      <c r="M379" s="129" t="s">
        <v>31</v>
      </c>
      <c r="N379" s="129" t="s">
        <v>28</v>
      </c>
      <c r="O379" s="129" t="s">
        <v>28</v>
      </c>
      <c r="P379" s="129" t="str">
        <f t="shared" si="11"/>
        <v>N/A</v>
      </c>
      <c r="Q379" s="128" t="s">
        <v>1416</v>
      </c>
      <c r="R379" s="128">
        <v>0.61</v>
      </c>
      <c r="S379" s="130"/>
      <c r="T379" s="130" t="s">
        <v>31</v>
      </c>
      <c r="U379" s="131"/>
    </row>
    <row r="380" spans="1:21" ht="15.75" hidden="1" thickBot="1">
      <c r="A380" s="45">
        <v>1100</v>
      </c>
      <c r="B380" s="123"/>
      <c r="C380" s="123"/>
      <c r="D380" s="123"/>
      <c r="E380" s="123"/>
      <c r="F380" s="123"/>
      <c r="G380" s="127" t="s">
        <v>110</v>
      </c>
      <c r="H380" s="128">
        <v>2010</v>
      </c>
      <c r="I380" s="128" t="s">
        <v>38</v>
      </c>
      <c r="J380" s="128">
        <f t="shared" si="10"/>
        <v>10</v>
      </c>
      <c r="K380" s="128" t="s">
        <v>1417</v>
      </c>
      <c r="L380" s="128" t="s">
        <v>30</v>
      </c>
      <c r="M380" s="129" t="s">
        <v>31</v>
      </c>
      <c r="N380" s="129" t="s">
        <v>28</v>
      </c>
      <c r="O380" s="129" t="s">
        <v>28</v>
      </c>
      <c r="P380" s="129" t="str">
        <f t="shared" si="11"/>
        <v>N/A</v>
      </c>
      <c r="Q380" s="128" t="s">
        <v>1418</v>
      </c>
      <c r="R380" s="128">
        <v>1.36</v>
      </c>
      <c r="S380" s="130"/>
      <c r="T380" s="130" t="s">
        <v>31</v>
      </c>
      <c r="U380" s="131"/>
    </row>
    <row r="381" spans="1:21" ht="15.75" hidden="1" thickBot="1">
      <c r="A381" s="45">
        <v>1100</v>
      </c>
      <c r="B381" s="123"/>
      <c r="C381" s="123"/>
      <c r="D381" s="123"/>
      <c r="E381" s="123"/>
      <c r="F381" s="123"/>
      <c r="G381" s="127" t="s">
        <v>110</v>
      </c>
      <c r="H381" s="128">
        <v>2010</v>
      </c>
      <c r="I381" s="128" t="s">
        <v>38</v>
      </c>
      <c r="J381" s="128">
        <f t="shared" si="10"/>
        <v>10</v>
      </c>
      <c r="K381" s="128" t="s">
        <v>1419</v>
      </c>
      <c r="L381" s="128" t="s">
        <v>30</v>
      </c>
      <c r="M381" s="129" t="s">
        <v>31</v>
      </c>
      <c r="N381" s="129" t="s">
        <v>28</v>
      </c>
      <c r="O381" s="129" t="s">
        <v>28</v>
      </c>
      <c r="P381" s="129" t="str">
        <f t="shared" si="11"/>
        <v>N/A</v>
      </c>
      <c r="Q381" s="132" t="s">
        <v>1420</v>
      </c>
      <c r="R381" s="128">
        <v>33.74</v>
      </c>
      <c r="S381" s="128">
        <v>49.04</v>
      </c>
      <c r="T381" s="130" t="s">
        <v>31</v>
      </c>
      <c r="U381" s="131" t="s">
        <v>1420</v>
      </c>
    </row>
    <row r="382" spans="1:21" ht="15.75" hidden="1" thickBot="1">
      <c r="A382" s="45">
        <v>1100</v>
      </c>
      <c r="B382" s="123"/>
      <c r="C382" s="123"/>
      <c r="D382" s="123"/>
      <c r="E382" s="123"/>
      <c r="F382" s="123"/>
      <c r="G382" s="127" t="s">
        <v>110</v>
      </c>
      <c r="H382" s="128">
        <v>2010</v>
      </c>
      <c r="I382" s="128" t="s">
        <v>38</v>
      </c>
      <c r="J382" s="128">
        <f t="shared" si="10"/>
        <v>10</v>
      </c>
      <c r="K382" s="128" t="s">
        <v>1421</v>
      </c>
      <c r="L382" s="128" t="s">
        <v>30</v>
      </c>
      <c r="M382" s="129" t="s">
        <v>31</v>
      </c>
      <c r="N382" s="129" t="s">
        <v>28</v>
      </c>
      <c r="O382" s="129" t="s">
        <v>28</v>
      </c>
      <c r="P382" s="129" t="str">
        <f t="shared" si="11"/>
        <v>N/A</v>
      </c>
      <c r="Q382" s="128" t="s">
        <v>1422</v>
      </c>
      <c r="R382" s="128">
        <v>0.8</v>
      </c>
      <c r="S382" s="130"/>
      <c r="T382" s="130" t="s">
        <v>31</v>
      </c>
      <c r="U382" s="131"/>
    </row>
    <row r="383" spans="1:21" ht="15.75" hidden="1" thickBot="1">
      <c r="A383" s="45">
        <v>1100</v>
      </c>
      <c r="B383" s="123"/>
      <c r="C383" s="123"/>
      <c r="D383" s="123"/>
      <c r="E383" s="123"/>
      <c r="F383" s="123"/>
      <c r="G383" s="127" t="s">
        <v>110</v>
      </c>
      <c r="H383" s="128">
        <v>2010</v>
      </c>
      <c r="I383" s="128" t="s">
        <v>38</v>
      </c>
      <c r="J383" s="128">
        <f t="shared" si="10"/>
        <v>10</v>
      </c>
      <c r="K383" s="128" t="s">
        <v>145</v>
      </c>
      <c r="L383" s="128" t="s">
        <v>40</v>
      </c>
      <c r="M383" s="129" t="s">
        <v>34</v>
      </c>
      <c r="N383" s="129" t="s">
        <v>32</v>
      </c>
      <c r="O383" s="129" t="s">
        <v>28</v>
      </c>
      <c r="P383" s="129" t="str">
        <f t="shared" si="11"/>
        <v>N/A</v>
      </c>
      <c r="Q383" s="130"/>
      <c r="R383" s="128">
        <v>24.45</v>
      </c>
      <c r="S383" s="128">
        <v>50.96</v>
      </c>
      <c r="T383" s="130"/>
      <c r="U383" s="131"/>
    </row>
    <row r="384" spans="1:21" ht="15.75" hidden="1" thickBot="1">
      <c r="A384" s="45">
        <v>1100</v>
      </c>
      <c r="B384" s="123"/>
      <c r="C384" s="123"/>
      <c r="D384" s="123"/>
      <c r="E384" s="123"/>
      <c r="F384" s="123"/>
      <c r="G384" s="127" t="s">
        <v>110</v>
      </c>
      <c r="H384" s="128">
        <v>2010</v>
      </c>
      <c r="I384" s="128" t="s">
        <v>38</v>
      </c>
      <c r="J384" s="128">
        <f t="shared" si="10"/>
        <v>10</v>
      </c>
      <c r="K384" s="128" t="s">
        <v>1423</v>
      </c>
      <c r="L384" s="128" t="s">
        <v>30</v>
      </c>
      <c r="M384" s="129" t="s">
        <v>31</v>
      </c>
      <c r="N384" s="129" t="s">
        <v>28</v>
      </c>
      <c r="O384" s="129" t="s">
        <v>28</v>
      </c>
      <c r="P384" s="129" t="str">
        <f t="shared" si="11"/>
        <v>N/A</v>
      </c>
      <c r="Q384" s="130"/>
      <c r="R384" s="128">
        <v>12</v>
      </c>
      <c r="S384" s="130"/>
      <c r="T384" s="130"/>
      <c r="U384" s="131"/>
    </row>
    <row r="385" spans="1:21" ht="15.75" hidden="1" thickBot="1">
      <c r="A385" s="45">
        <v>1100</v>
      </c>
      <c r="B385" s="123"/>
      <c r="C385" s="123"/>
      <c r="D385" s="123"/>
      <c r="E385" s="123"/>
      <c r="F385" s="123"/>
      <c r="G385" s="127" t="s">
        <v>110</v>
      </c>
      <c r="H385" s="128">
        <v>2010</v>
      </c>
      <c r="I385" s="128" t="s">
        <v>38</v>
      </c>
      <c r="J385" s="128">
        <f t="shared" si="10"/>
        <v>10</v>
      </c>
      <c r="K385" s="128" t="s">
        <v>1424</v>
      </c>
      <c r="L385" s="128" t="s">
        <v>30</v>
      </c>
      <c r="M385" s="129" t="s">
        <v>201</v>
      </c>
      <c r="N385" s="129" t="s">
        <v>28</v>
      </c>
      <c r="O385" s="129" t="s">
        <v>28</v>
      </c>
      <c r="P385" s="129" t="str">
        <f t="shared" si="11"/>
        <v>N/A</v>
      </c>
      <c r="Q385" s="130"/>
      <c r="R385" s="128">
        <v>0.77</v>
      </c>
      <c r="S385" s="130"/>
      <c r="T385" s="130"/>
      <c r="U385" s="131"/>
    </row>
    <row r="386" spans="1:21" ht="15.75" hidden="1" thickBot="1">
      <c r="A386" s="45">
        <v>1100</v>
      </c>
      <c r="B386" s="123"/>
      <c r="C386" s="123"/>
      <c r="D386" s="123"/>
      <c r="E386" s="123"/>
      <c r="F386" s="123"/>
      <c r="G386" s="127" t="s">
        <v>110</v>
      </c>
      <c r="H386" s="128">
        <v>2010</v>
      </c>
      <c r="I386" s="128" t="s">
        <v>38</v>
      </c>
      <c r="J386" s="128">
        <f t="shared" ref="J386:J449" si="12">COUNTIF(A$2:A$2215, A386)</f>
        <v>10</v>
      </c>
      <c r="K386" s="128" t="s">
        <v>1385</v>
      </c>
      <c r="L386" s="128" t="s">
        <v>40</v>
      </c>
      <c r="M386" s="129" t="s">
        <v>201</v>
      </c>
      <c r="N386" s="129" t="s">
        <v>28</v>
      </c>
      <c r="O386" s="129" t="s">
        <v>28</v>
      </c>
      <c r="P386" s="129" t="str">
        <f t="shared" si="11"/>
        <v>N/A</v>
      </c>
      <c r="Q386" s="128" t="s">
        <v>1425</v>
      </c>
      <c r="R386" s="128">
        <v>2.5</v>
      </c>
      <c r="S386" s="130"/>
      <c r="T386" s="130" t="s">
        <v>998</v>
      </c>
      <c r="U386" s="131"/>
    </row>
    <row r="387" spans="1:21" ht="15.75" hidden="1" thickBot="1">
      <c r="A387" s="45">
        <v>1100</v>
      </c>
      <c r="B387" s="123"/>
      <c r="C387" s="123"/>
      <c r="D387" s="123"/>
      <c r="E387" s="123"/>
      <c r="F387" s="123"/>
      <c r="G387" s="127" t="s">
        <v>110</v>
      </c>
      <c r="H387" s="128">
        <v>2010</v>
      </c>
      <c r="I387" s="128" t="s">
        <v>38</v>
      </c>
      <c r="J387" s="128">
        <f t="shared" si="12"/>
        <v>10</v>
      </c>
      <c r="K387" s="128" t="s">
        <v>127</v>
      </c>
      <c r="L387" s="128" t="s">
        <v>40</v>
      </c>
      <c r="M387" s="129" t="s">
        <v>31</v>
      </c>
      <c r="N387" s="129" t="s">
        <v>28</v>
      </c>
      <c r="O387" s="129" t="s">
        <v>28</v>
      </c>
      <c r="P387" s="129" t="str">
        <f t="shared" ref="P387:P450" si="13">IF(O387="N", "N/A", IF(AND(N387="N",  O387="Y"), "N", IF(AND(O387="Y", N387="Y"), "Y", "")))</f>
        <v>N/A</v>
      </c>
      <c r="Q387" s="130"/>
      <c r="R387" s="128">
        <v>21.6</v>
      </c>
      <c r="S387" s="130"/>
      <c r="T387" s="130"/>
      <c r="U387" s="131"/>
    </row>
    <row r="388" spans="1:21" ht="15.75" thickBot="1">
      <c r="A388" s="45">
        <v>1100</v>
      </c>
      <c r="B388" s="123"/>
      <c r="C388" s="123"/>
      <c r="D388" s="123"/>
      <c r="E388" s="123"/>
      <c r="F388" s="123"/>
      <c r="G388" s="127" t="s">
        <v>110</v>
      </c>
      <c r="H388" s="128">
        <v>2010</v>
      </c>
      <c r="I388" s="128" t="s">
        <v>38</v>
      </c>
      <c r="J388" s="128">
        <f t="shared" si="12"/>
        <v>10</v>
      </c>
      <c r="K388" s="128" t="s">
        <v>1426</v>
      </c>
      <c r="L388" s="128" t="s">
        <v>30</v>
      </c>
      <c r="M388" s="129" t="s">
        <v>201</v>
      </c>
      <c r="N388" s="129" t="s">
        <v>28</v>
      </c>
      <c r="O388" s="129" t="s">
        <v>32</v>
      </c>
      <c r="P388" s="129" t="str">
        <f t="shared" si="13"/>
        <v>N</v>
      </c>
      <c r="Q388" s="128" t="s">
        <v>1427</v>
      </c>
      <c r="R388" s="128">
        <v>1.93</v>
      </c>
      <c r="S388" s="130"/>
      <c r="T388" s="130" t="s">
        <v>998</v>
      </c>
      <c r="U388" s="131"/>
    </row>
    <row r="389" spans="1:21" ht="15.75" hidden="1" thickBot="1">
      <c r="A389" s="45">
        <v>1101</v>
      </c>
      <c r="B389" s="123"/>
      <c r="C389" s="123"/>
      <c r="D389" s="123"/>
      <c r="E389" s="123"/>
      <c r="F389" s="123"/>
      <c r="G389" s="127" t="s">
        <v>110</v>
      </c>
      <c r="H389" s="128">
        <v>2010</v>
      </c>
      <c r="I389" s="128" t="s">
        <v>70</v>
      </c>
      <c r="J389" s="128">
        <f t="shared" si="12"/>
        <v>2</v>
      </c>
      <c r="K389" s="128" t="s">
        <v>143</v>
      </c>
      <c r="L389" s="128" t="s">
        <v>40</v>
      </c>
      <c r="M389" s="129" t="s">
        <v>31</v>
      </c>
      <c r="N389" s="129" t="s">
        <v>32</v>
      </c>
      <c r="O389" s="129" t="s">
        <v>32</v>
      </c>
      <c r="P389" s="129" t="str">
        <f t="shared" si="13"/>
        <v>Y</v>
      </c>
      <c r="Q389" s="130"/>
      <c r="R389" s="128">
        <v>66.98</v>
      </c>
      <c r="S389" s="130"/>
      <c r="T389" s="130"/>
      <c r="U389" s="131"/>
    </row>
    <row r="390" spans="1:21" ht="15.75" thickBot="1">
      <c r="A390" s="45">
        <v>1101</v>
      </c>
      <c r="B390" s="123"/>
      <c r="C390" s="123"/>
      <c r="D390" s="123"/>
      <c r="E390" s="123"/>
      <c r="F390" s="123"/>
      <c r="G390" s="127" t="s">
        <v>110</v>
      </c>
      <c r="H390" s="128">
        <v>2010</v>
      </c>
      <c r="I390" s="128" t="s">
        <v>70</v>
      </c>
      <c r="J390" s="128">
        <f t="shared" si="12"/>
        <v>2</v>
      </c>
      <c r="K390" s="128" t="s">
        <v>1371</v>
      </c>
      <c r="L390" s="128" t="s">
        <v>30</v>
      </c>
      <c r="M390" s="129" t="s">
        <v>31</v>
      </c>
      <c r="N390" s="129" t="s">
        <v>28</v>
      </c>
      <c r="O390" s="129"/>
      <c r="P390" s="129" t="str">
        <f t="shared" si="13"/>
        <v/>
      </c>
      <c r="Q390" s="132" t="s">
        <v>1428</v>
      </c>
      <c r="R390" s="128">
        <v>31.81</v>
      </c>
      <c r="S390" s="130"/>
      <c r="T390" s="130" t="s">
        <v>1331</v>
      </c>
      <c r="U390" s="131"/>
    </row>
    <row r="391" spans="1:21" ht="15.75" hidden="1" thickBot="1">
      <c r="A391" s="45">
        <v>1102</v>
      </c>
      <c r="B391" s="123"/>
      <c r="C391" s="123"/>
      <c r="D391" s="123"/>
      <c r="E391" s="123"/>
      <c r="F391" s="123"/>
      <c r="G391" s="127" t="s">
        <v>110</v>
      </c>
      <c r="H391" s="128">
        <v>2010</v>
      </c>
      <c r="I391" s="128" t="s">
        <v>91</v>
      </c>
      <c r="J391" s="128">
        <f t="shared" si="12"/>
        <v>2</v>
      </c>
      <c r="K391" s="128" t="s">
        <v>1429</v>
      </c>
      <c r="L391" s="128" t="s">
        <v>40</v>
      </c>
      <c r="M391" s="129" t="s">
        <v>34</v>
      </c>
      <c r="N391" s="129" t="s">
        <v>28</v>
      </c>
      <c r="O391" s="129" t="s">
        <v>28</v>
      </c>
      <c r="P391" s="129" t="str">
        <f t="shared" si="13"/>
        <v>N/A</v>
      </c>
      <c r="Q391" s="128" t="s">
        <v>1430</v>
      </c>
      <c r="R391" s="128">
        <v>33.729999999999997</v>
      </c>
      <c r="S391" s="130"/>
      <c r="T391" s="130" t="s">
        <v>998</v>
      </c>
      <c r="U391" s="131" t="s">
        <v>1430</v>
      </c>
    </row>
    <row r="392" spans="1:21" ht="15.75" hidden="1" thickBot="1">
      <c r="A392" s="45">
        <v>1102</v>
      </c>
      <c r="B392" s="123"/>
      <c r="C392" s="123"/>
      <c r="D392" s="123"/>
      <c r="E392" s="123"/>
      <c r="F392" s="123"/>
      <c r="G392" s="127" t="s">
        <v>110</v>
      </c>
      <c r="H392" s="128">
        <v>2010</v>
      </c>
      <c r="I392" s="128" t="s">
        <v>91</v>
      </c>
      <c r="J392" s="128">
        <f t="shared" si="12"/>
        <v>2</v>
      </c>
      <c r="K392" s="128" t="s">
        <v>146</v>
      </c>
      <c r="L392" s="128" t="s">
        <v>40</v>
      </c>
      <c r="M392" s="129" t="s">
        <v>31</v>
      </c>
      <c r="N392" s="129" t="s">
        <v>32</v>
      </c>
      <c r="O392" s="129" t="s">
        <v>32</v>
      </c>
      <c r="P392" s="129" t="str">
        <f t="shared" si="13"/>
        <v>Y</v>
      </c>
      <c r="Q392" s="132" t="s">
        <v>1431</v>
      </c>
      <c r="R392" s="128">
        <v>65.72</v>
      </c>
      <c r="S392" s="130"/>
      <c r="T392" s="130" t="s">
        <v>998</v>
      </c>
      <c r="U392" s="131"/>
    </row>
    <row r="393" spans="1:21" ht="15.75" thickBot="1">
      <c r="A393" s="45">
        <v>1103</v>
      </c>
      <c r="B393" s="123"/>
      <c r="C393" s="123"/>
      <c r="D393" s="123"/>
      <c r="E393" s="123"/>
      <c r="F393" s="123"/>
      <c r="G393" s="127" t="s">
        <v>110</v>
      </c>
      <c r="H393" s="128">
        <v>2010</v>
      </c>
      <c r="I393" s="128" t="s">
        <v>116</v>
      </c>
      <c r="J393" s="128">
        <f t="shared" si="12"/>
        <v>1</v>
      </c>
      <c r="K393" s="128" t="s">
        <v>147</v>
      </c>
      <c r="L393" s="128" t="s">
        <v>30</v>
      </c>
      <c r="M393" s="129" t="s">
        <v>34</v>
      </c>
      <c r="N393" s="129" t="s">
        <v>32</v>
      </c>
      <c r="O393" s="129"/>
      <c r="P393" s="129" t="str">
        <f t="shared" si="13"/>
        <v/>
      </c>
      <c r="Q393" s="132" t="s">
        <v>1432</v>
      </c>
      <c r="R393" s="128">
        <v>97.72</v>
      </c>
      <c r="S393" s="130"/>
      <c r="T393" s="130" t="s">
        <v>998</v>
      </c>
      <c r="U393" s="131"/>
    </row>
    <row r="394" spans="1:21" ht="15.75" hidden="1" thickBot="1">
      <c r="A394" s="45">
        <v>1104</v>
      </c>
      <c r="B394" s="123"/>
      <c r="C394" s="123"/>
      <c r="D394" s="123"/>
      <c r="E394" s="123"/>
      <c r="F394" s="123"/>
      <c r="G394" s="127" t="s">
        <v>110</v>
      </c>
      <c r="H394" s="128">
        <v>2010</v>
      </c>
      <c r="I394" s="128" t="s">
        <v>79</v>
      </c>
      <c r="J394" s="128">
        <f t="shared" si="12"/>
        <v>7</v>
      </c>
      <c r="K394" s="128" t="s">
        <v>1390</v>
      </c>
      <c r="L394" s="128" t="s">
        <v>30</v>
      </c>
      <c r="M394" s="129" t="s">
        <v>1003</v>
      </c>
      <c r="N394" s="129" t="s">
        <v>28</v>
      </c>
      <c r="O394" s="129" t="s">
        <v>28</v>
      </c>
      <c r="P394" s="129" t="str">
        <f t="shared" si="13"/>
        <v>N/A</v>
      </c>
      <c r="Q394" s="128" t="s">
        <v>1433</v>
      </c>
      <c r="R394" s="128">
        <v>5.41</v>
      </c>
      <c r="S394" s="130"/>
      <c r="T394" s="130" t="s">
        <v>1434</v>
      </c>
      <c r="U394" s="131" t="s">
        <v>1391</v>
      </c>
    </row>
    <row r="395" spans="1:21" ht="15.75" hidden="1" thickBot="1">
      <c r="A395" s="45">
        <v>1104</v>
      </c>
      <c r="B395" s="123"/>
      <c r="C395" s="123"/>
      <c r="D395" s="123"/>
      <c r="E395" s="123"/>
      <c r="F395" s="123"/>
      <c r="G395" s="127" t="s">
        <v>110</v>
      </c>
      <c r="H395" s="128">
        <v>2010</v>
      </c>
      <c r="I395" s="128" t="s">
        <v>79</v>
      </c>
      <c r="J395" s="128">
        <f t="shared" si="12"/>
        <v>7</v>
      </c>
      <c r="K395" s="128" t="s">
        <v>1435</v>
      </c>
      <c r="L395" s="128" t="s">
        <v>30</v>
      </c>
      <c r="M395" s="129" t="s">
        <v>31</v>
      </c>
      <c r="N395" s="129" t="s">
        <v>28</v>
      </c>
      <c r="O395" s="129" t="s">
        <v>28</v>
      </c>
      <c r="P395" s="129" t="str">
        <f t="shared" si="13"/>
        <v>N/A</v>
      </c>
      <c r="Q395" s="128" t="s">
        <v>1436</v>
      </c>
      <c r="R395" s="128">
        <v>11.2</v>
      </c>
      <c r="S395" s="130"/>
      <c r="T395" s="130" t="s">
        <v>31</v>
      </c>
      <c r="U395" s="131"/>
    </row>
    <row r="396" spans="1:21" ht="15.75" hidden="1" thickBot="1">
      <c r="A396" s="45">
        <v>1104</v>
      </c>
      <c r="B396" s="123"/>
      <c r="C396" s="123"/>
      <c r="D396" s="123"/>
      <c r="E396" s="123"/>
      <c r="F396" s="123"/>
      <c r="G396" s="127" t="s">
        <v>110</v>
      </c>
      <c r="H396" s="128">
        <v>2010</v>
      </c>
      <c r="I396" s="128" t="s">
        <v>79</v>
      </c>
      <c r="J396" s="128">
        <f t="shared" si="12"/>
        <v>7</v>
      </c>
      <c r="K396" s="128" t="s">
        <v>1437</v>
      </c>
      <c r="L396" s="128" t="s">
        <v>30</v>
      </c>
      <c r="M396" s="129" t="s">
        <v>31</v>
      </c>
      <c r="N396" s="129" t="s">
        <v>28</v>
      </c>
      <c r="O396" s="129" t="s">
        <v>28</v>
      </c>
      <c r="P396" s="129" t="str">
        <f t="shared" si="13"/>
        <v>N/A</v>
      </c>
      <c r="Q396" s="128" t="s">
        <v>1438</v>
      </c>
      <c r="R396" s="128">
        <v>2.5099999999999998</v>
      </c>
      <c r="S396" s="130"/>
      <c r="T396" s="130" t="s">
        <v>31</v>
      </c>
      <c r="U396" s="131"/>
    </row>
    <row r="397" spans="1:21" ht="15.75" hidden="1" thickBot="1">
      <c r="A397" s="45">
        <v>1104</v>
      </c>
      <c r="B397" s="123"/>
      <c r="C397" s="123"/>
      <c r="D397" s="123"/>
      <c r="E397" s="123"/>
      <c r="F397" s="123"/>
      <c r="G397" s="127" t="s">
        <v>110</v>
      </c>
      <c r="H397" s="128">
        <v>2010</v>
      </c>
      <c r="I397" s="128" t="s">
        <v>79</v>
      </c>
      <c r="J397" s="128">
        <f t="shared" si="12"/>
        <v>7</v>
      </c>
      <c r="K397" s="128" t="s">
        <v>1439</v>
      </c>
      <c r="L397" s="128" t="s">
        <v>40</v>
      </c>
      <c r="M397" s="129" t="s">
        <v>31</v>
      </c>
      <c r="N397" s="129" t="s">
        <v>28</v>
      </c>
      <c r="O397" s="129" t="s">
        <v>28</v>
      </c>
      <c r="P397" s="129" t="str">
        <f t="shared" si="13"/>
        <v>N/A</v>
      </c>
      <c r="Q397" s="130"/>
      <c r="R397" s="128">
        <v>22.9</v>
      </c>
      <c r="S397" s="128">
        <v>29.63</v>
      </c>
      <c r="T397" s="130"/>
      <c r="U397" s="131"/>
    </row>
    <row r="398" spans="1:21" ht="15.75" hidden="1" thickBot="1">
      <c r="A398" s="45">
        <v>1104</v>
      </c>
      <c r="B398" s="123"/>
      <c r="C398" s="123"/>
      <c r="D398" s="123"/>
      <c r="E398" s="123"/>
      <c r="F398" s="123"/>
      <c r="G398" s="127" t="s">
        <v>110</v>
      </c>
      <c r="H398" s="128">
        <v>2010</v>
      </c>
      <c r="I398" s="128" t="s">
        <v>79</v>
      </c>
      <c r="J398" s="128">
        <f t="shared" si="12"/>
        <v>7</v>
      </c>
      <c r="K398" s="128" t="s">
        <v>113</v>
      </c>
      <c r="L398" s="128" t="s">
        <v>40</v>
      </c>
      <c r="M398" s="129" t="s">
        <v>31</v>
      </c>
      <c r="N398" s="129" t="s">
        <v>32</v>
      </c>
      <c r="O398" s="129" t="s">
        <v>28</v>
      </c>
      <c r="P398" s="129" t="str">
        <f t="shared" si="13"/>
        <v>N/A</v>
      </c>
      <c r="Q398" s="130"/>
      <c r="R398" s="128">
        <v>41.77</v>
      </c>
      <c r="S398" s="128">
        <v>53.07</v>
      </c>
      <c r="T398" s="130"/>
      <c r="U398" s="131"/>
    </row>
    <row r="399" spans="1:21" ht="15.75" hidden="1" thickBot="1">
      <c r="A399" s="45">
        <v>1104</v>
      </c>
      <c r="B399" s="123"/>
      <c r="C399" s="123"/>
      <c r="D399" s="123"/>
      <c r="E399" s="123"/>
      <c r="F399" s="123"/>
      <c r="G399" s="127" t="s">
        <v>110</v>
      </c>
      <c r="H399" s="128">
        <v>2010</v>
      </c>
      <c r="I399" s="128" t="s">
        <v>79</v>
      </c>
      <c r="J399" s="128">
        <f t="shared" si="12"/>
        <v>7</v>
      </c>
      <c r="K399" s="128" t="s">
        <v>1366</v>
      </c>
      <c r="L399" s="128" t="s">
        <v>40</v>
      </c>
      <c r="M399" s="129" t="s">
        <v>201</v>
      </c>
      <c r="N399" s="129" t="s">
        <v>28</v>
      </c>
      <c r="O399" s="129" t="s">
        <v>28</v>
      </c>
      <c r="P399" s="129" t="str">
        <f t="shared" si="13"/>
        <v>N/A</v>
      </c>
      <c r="Q399" s="128" t="s">
        <v>1440</v>
      </c>
      <c r="R399" s="128">
        <v>11.69</v>
      </c>
      <c r="S399" s="128">
        <v>17.3</v>
      </c>
      <c r="T399" s="130" t="s">
        <v>1434</v>
      </c>
      <c r="U399" s="131"/>
    </row>
    <row r="400" spans="1:21" ht="15.75" hidden="1" thickBot="1">
      <c r="A400" s="45">
        <v>1104</v>
      </c>
      <c r="B400" s="123"/>
      <c r="C400" s="123"/>
      <c r="D400" s="123"/>
      <c r="E400" s="123"/>
      <c r="F400" s="123"/>
      <c r="G400" s="127" t="s">
        <v>110</v>
      </c>
      <c r="H400" s="128">
        <v>2010</v>
      </c>
      <c r="I400" s="128" t="s">
        <v>79</v>
      </c>
      <c r="J400" s="128">
        <f t="shared" si="12"/>
        <v>7</v>
      </c>
      <c r="K400" s="128" t="s">
        <v>1441</v>
      </c>
      <c r="L400" s="128" t="s">
        <v>30</v>
      </c>
      <c r="M400" s="129" t="s">
        <v>31</v>
      </c>
      <c r="N400" s="129" t="s">
        <v>28</v>
      </c>
      <c r="O400" s="129" t="s">
        <v>28</v>
      </c>
      <c r="P400" s="129" t="str">
        <f t="shared" si="13"/>
        <v>N/A</v>
      </c>
      <c r="Q400" s="128" t="s">
        <v>1004</v>
      </c>
      <c r="R400" s="128">
        <v>4.1900000000000004</v>
      </c>
      <c r="S400" s="130"/>
      <c r="T400" s="130" t="s">
        <v>31</v>
      </c>
      <c r="U400" s="131"/>
    </row>
    <row r="401" spans="1:21" ht="15.75" thickBot="1">
      <c r="A401" s="45">
        <v>1105</v>
      </c>
      <c r="B401" s="123"/>
      <c r="C401" s="123"/>
      <c r="D401" s="123"/>
      <c r="E401" s="123"/>
      <c r="F401" s="123"/>
      <c r="G401" s="127" t="s">
        <v>110</v>
      </c>
      <c r="H401" s="128">
        <v>2010</v>
      </c>
      <c r="I401" s="128" t="s">
        <v>119</v>
      </c>
      <c r="J401" s="128">
        <f t="shared" si="12"/>
        <v>2</v>
      </c>
      <c r="K401" s="128" t="s">
        <v>1442</v>
      </c>
      <c r="L401" s="128" t="s">
        <v>30</v>
      </c>
      <c r="M401" s="129" t="s">
        <v>31</v>
      </c>
      <c r="N401" s="129" t="s">
        <v>28</v>
      </c>
      <c r="O401" s="129"/>
      <c r="P401" s="129" t="str">
        <f t="shared" si="13"/>
        <v/>
      </c>
      <c r="Q401" s="132" t="s">
        <v>1443</v>
      </c>
      <c r="R401" s="128">
        <v>30.54</v>
      </c>
      <c r="S401" s="130"/>
      <c r="T401" s="130" t="s">
        <v>31</v>
      </c>
      <c r="U401" s="131"/>
    </row>
    <row r="402" spans="1:21" ht="15.75" hidden="1" thickBot="1">
      <c r="A402" s="45">
        <v>1105</v>
      </c>
      <c r="B402" s="123"/>
      <c r="C402" s="123"/>
      <c r="D402" s="123"/>
      <c r="E402" s="123"/>
      <c r="F402" s="123"/>
      <c r="G402" s="127" t="s">
        <v>110</v>
      </c>
      <c r="H402" s="128">
        <v>2010</v>
      </c>
      <c r="I402" s="128" t="s">
        <v>119</v>
      </c>
      <c r="J402" s="128">
        <f t="shared" si="12"/>
        <v>2</v>
      </c>
      <c r="K402" s="128" t="s">
        <v>148</v>
      </c>
      <c r="L402" s="128" t="s">
        <v>30</v>
      </c>
      <c r="M402" s="129" t="s">
        <v>34</v>
      </c>
      <c r="N402" s="129" t="s">
        <v>32</v>
      </c>
      <c r="O402" s="129" t="s">
        <v>32</v>
      </c>
      <c r="P402" s="129" t="str">
        <f t="shared" si="13"/>
        <v>Y</v>
      </c>
      <c r="Q402" s="132" t="s">
        <v>1444</v>
      </c>
      <c r="R402" s="128">
        <v>68.650000000000006</v>
      </c>
      <c r="S402" s="130"/>
      <c r="T402" s="130" t="s">
        <v>998</v>
      </c>
      <c r="U402" s="131"/>
    </row>
    <row r="403" spans="1:21" ht="15.75" hidden="1" thickBot="1">
      <c r="A403" s="45">
        <v>1106</v>
      </c>
      <c r="B403" s="123"/>
      <c r="C403" s="123"/>
      <c r="D403" s="123"/>
      <c r="E403" s="123"/>
      <c r="F403" s="123"/>
      <c r="G403" s="127" t="s">
        <v>110</v>
      </c>
      <c r="H403" s="128">
        <v>2010</v>
      </c>
      <c r="I403" s="128" t="s">
        <v>100</v>
      </c>
      <c r="J403" s="128">
        <f t="shared" si="12"/>
        <v>3</v>
      </c>
      <c r="K403" s="128" t="s">
        <v>121</v>
      </c>
      <c r="L403" s="128" t="s">
        <v>40</v>
      </c>
      <c r="M403" s="129" t="s">
        <v>201</v>
      </c>
      <c r="N403" s="129" t="s">
        <v>32</v>
      </c>
      <c r="O403" s="129" t="s">
        <v>32</v>
      </c>
      <c r="P403" s="129" t="str">
        <f t="shared" si="13"/>
        <v>Y</v>
      </c>
      <c r="Q403" s="130"/>
      <c r="R403" s="128">
        <v>64.150000000000006</v>
      </c>
      <c r="S403" s="130"/>
      <c r="T403" s="130"/>
      <c r="U403" s="131"/>
    </row>
    <row r="404" spans="1:21" ht="15.75" hidden="1" thickBot="1">
      <c r="A404" s="45">
        <v>1106</v>
      </c>
      <c r="B404" s="123"/>
      <c r="C404" s="123"/>
      <c r="D404" s="123"/>
      <c r="E404" s="123"/>
      <c r="F404" s="123"/>
      <c r="G404" s="127" t="s">
        <v>110</v>
      </c>
      <c r="H404" s="128">
        <v>2010</v>
      </c>
      <c r="I404" s="128" t="s">
        <v>100</v>
      </c>
      <c r="J404" s="128">
        <f t="shared" si="12"/>
        <v>3</v>
      </c>
      <c r="K404" s="128" t="s">
        <v>1445</v>
      </c>
      <c r="L404" s="128" t="s">
        <v>30</v>
      </c>
      <c r="M404" s="129" t="s">
        <v>1065</v>
      </c>
      <c r="N404" s="129" t="s">
        <v>28</v>
      </c>
      <c r="O404" s="129" t="s">
        <v>28</v>
      </c>
      <c r="P404" s="129" t="str">
        <f t="shared" si="13"/>
        <v>N/A</v>
      </c>
      <c r="Q404" s="128" t="s">
        <v>1446</v>
      </c>
      <c r="R404" s="128">
        <v>21.41</v>
      </c>
      <c r="S404" s="130"/>
      <c r="T404" s="130" t="s">
        <v>1447</v>
      </c>
      <c r="U404" s="131"/>
    </row>
    <row r="405" spans="1:21" ht="15.75" hidden="1" thickBot="1">
      <c r="A405" s="45">
        <v>1106</v>
      </c>
      <c r="B405" s="123"/>
      <c r="C405" s="123"/>
      <c r="D405" s="123"/>
      <c r="E405" s="123"/>
      <c r="F405" s="123"/>
      <c r="G405" s="127" t="s">
        <v>110</v>
      </c>
      <c r="H405" s="128">
        <v>2010</v>
      </c>
      <c r="I405" s="128" t="s">
        <v>100</v>
      </c>
      <c r="J405" s="128">
        <f t="shared" si="12"/>
        <v>3</v>
      </c>
      <c r="K405" s="128" t="s">
        <v>1363</v>
      </c>
      <c r="L405" s="128" t="s">
        <v>40</v>
      </c>
      <c r="M405" s="129" t="s">
        <v>31</v>
      </c>
      <c r="N405" s="129" t="s">
        <v>28</v>
      </c>
      <c r="O405" s="129" t="s">
        <v>28</v>
      </c>
      <c r="P405" s="129" t="str">
        <f t="shared" si="13"/>
        <v>N/A</v>
      </c>
      <c r="Q405" s="130"/>
      <c r="R405" s="128">
        <v>13.78</v>
      </c>
      <c r="S405" s="130"/>
      <c r="T405" s="130"/>
      <c r="U405" s="131"/>
    </row>
    <row r="406" spans="1:21" ht="15.75" hidden="1" thickBot="1">
      <c r="A406" s="45">
        <v>1107</v>
      </c>
      <c r="B406" s="123"/>
      <c r="C406" s="123"/>
      <c r="D406" s="123"/>
      <c r="E406" s="123"/>
      <c r="F406" s="123"/>
      <c r="G406" s="127" t="s">
        <v>110</v>
      </c>
      <c r="H406" s="128">
        <v>2010</v>
      </c>
      <c r="I406" s="128" t="s">
        <v>122</v>
      </c>
      <c r="J406" s="128">
        <f t="shared" si="12"/>
        <v>1</v>
      </c>
      <c r="K406" s="128" t="s">
        <v>149</v>
      </c>
      <c r="L406" s="128" t="s">
        <v>30</v>
      </c>
      <c r="M406" s="129" t="s">
        <v>31</v>
      </c>
      <c r="N406" s="129" t="s">
        <v>32</v>
      </c>
      <c r="O406" s="129" t="s">
        <v>32</v>
      </c>
      <c r="P406" s="129" t="str">
        <f t="shared" si="13"/>
        <v>Y</v>
      </c>
      <c r="Q406" s="132" t="s">
        <v>1448</v>
      </c>
      <c r="R406" s="128">
        <v>97.47</v>
      </c>
      <c r="S406" s="130"/>
      <c r="T406" s="130" t="s">
        <v>31</v>
      </c>
      <c r="U406" s="131"/>
    </row>
    <row r="407" spans="1:21" ht="15.75" thickBot="1">
      <c r="A407" s="45">
        <v>1090</v>
      </c>
      <c r="B407" s="123"/>
      <c r="C407" s="123"/>
      <c r="D407" s="123"/>
      <c r="E407" s="123"/>
      <c r="F407" s="123"/>
      <c r="G407" s="127" t="s">
        <v>110</v>
      </c>
      <c r="H407" s="128">
        <v>2012</v>
      </c>
      <c r="I407" s="128" t="s">
        <v>124</v>
      </c>
      <c r="J407" s="128">
        <f t="shared" si="12"/>
        <v>2</v>
      </c>
      <c r="K407" s="128" t="s">
        <v>125</v>
      </c>
      <c r="L407" s="128" t="s">
        <v>40</v>
      </c>
      <c r="M407" s="129" t="s">
        <v>201</v>
      </c>
      <c r="N407" s="129" t="s">
        <v>32</v>
      </c>
      <c r="O407" s="129"/>
      <c r="P407" s="129" t="str">
        <f t="shared" si="13"/>
        <v/>
      </c>
      <c r="Q407" s="132" t="s">
        <v>1449</v>
      </c>
      <c r="R407" s="128">
        <v>68.42</v>
      </c>
      <c r="S407" s="130"/>
      <c r="T407" s="130" t="s">
        <v>1407</v>
      </c>
      <c r="U407" s="131"/>
    </row>
    <row r="408" spans="1:21" ht="15.75" hidden="1" thickBot="1">
      <c r="A408" s="45">
        <v>1090</v>
      </c>
      <c r="B408" s="123"/>
      <c r="C408" s="123"/>
      <c r="D408" s="123"/>
      <c r="E408" s="123"/>
      <c r="F408" s="123"/>
      <c r="G408" s="127" t="s">
        <v>110</v>
      </c>
      <c r="H408" s="128">
        <v>2012</v>
      </c>
      <c r="I408" s="128" t="s">
        <v>124</v>
      </c>
      <c r="J408" s="128">
        <f t="shared" si="12"/>
        <v>2</v>
      </c>
      <c r="K408" s="128" t="s">
        <v>156</v>
      </c>
      <c r="L408" s="128" t="s">
        <v>40</v>
      </c>
      <c r="M408" s="129" t="s">
        <v>31</v>
      </c>
      <c r="N408" s="129" t="s">
        <v>28</v>
      </c>
      <c r="O408" s="129" t="s">
        <v>28</v>
      </c>
      <c r="P408" s="129" t="str">
        <f t="shared" si="13"/>
        <v>N/A</v>
      </c>
      <c r="Q408" s="132" t="s">
        <v>1450</v>
      </c>
      <c r="R408" s="128">
        <v>30.77</v>
      </c>
      <c r="S408" s="130"/>
      <c r="T408" s="130" t="s">
        <v>31</v>
      </c>
      <c r="U408" s="131"/>
    </row>
    <row r="409" spans="1:21" ht="15.75" hidden="1" thickBot="1">
      <c r="A409" s="45">
        <v>1091</v>
      </c>
      <c r="B409" s="123"/>
      <c r="C409" s="123"/>
      <c r="D409" s="123"/>
      <c r="E409" s="123"/>
      <c r="F409" s="123"/>
      <c r="G409" s="127" t="s">
        <v>110</v>
      </c>
      <c r="H409" s="128">
        <v>2012</v>
      </c>
      <c r="I409" s="128" t="s">
        <v>154</v>
      </c>
      <c r="J409" s="128">
        <f t="shared" si="12"/>
        <v>5</v>
      </c>
      <c r="K409" s="128" t="s">
        <v>1451</v>
      </c>
      <c r="L409" s="128" t="s">
        <v>40</v>
      </c>
      <c r="M409" s="129" t="s">
        <v>201</v>
      </c>
      <c r="N409" s="129" t="s">
        <v>28</v>
      </c>
      <c r="O409" s="129" t="s">
        <v>28</v>
      </c>
      <c r="P409" s="129" t="str">
        <f t="shared" si="13"/>
        <v>N/A</v>
      </c>
      <c r="Q409" s="128" t="s">
        <v>1452</v>
      </c>
      <c r="R409" s="128">
        <v>15.62</v>
      </c>
      <c r="S409" s="130"/>
      <c r="T409" s="130" t="s">
        <v>1407</v>
      </c>
      <c r="U409" s="131"/>
    </row>
    <row r="410" spans="1:21" ht="15.75" hidden="1" thickBot="1">
      <c r="A410" s="45">
        <v>1091</v>
      </c>
      <c r="B410" s="123"/>
      <c r="C410" s="123"/>
      <c r="D410" s="123"/>
      <c r="E410" s="123"/>
      <c r="F410" s="123"/>
      <c r="G410" s="127" t="s">
        <v>110</v>
      </c>
      <c r="H410" s="128">
        <v>2012</v>
      </c>
      <c r="I410" s="128" t="s">
        <v>154</v>
      </c>
      <c r="J410" s="128">
        <f t="shared" si="12"/>
        <v>5</v>
      </c>
      <c r="K410" s="128" t="s">
        <v>158</v>
      </c>
      <c r="L410" s="128" t="s">
        <v>30</v>
      </c>
      <c r="M410" s="129" t="s">
        <v>1065</v>
      </c>
      <c r="N410" s="129" t="s">
        <v>28</v>
      </c>
      <c r="O410" s="129" t="s">
        <v>28</v>
      </c>
      <c r="P410" s="129" t="str">
        <f t="shared" si="13"/>
        <v>N/A</v>
      </c>
      <c r="Q410" s="132" t="s">
        <v>1453</v>
      </c>
      <c r="R410" s="128">
        <v>29.53</v>
      </c>
      <c r="S410" s="128">
        <v>39.299999999999997</v>
      </c>
      <c r="T410" s="130" t="s">
        <v>1015</v>
      </c>
      <c r="U410" s="131"/>
    </row>
    <row r="411" spans="1:21" ht="15.75" hidden="1" thickBot="1">
      <c r="A411" s="45">
        <v>1091</v>
      </c>
      <c r="B411" s="123"/>
      <c r="C411" s="123"/>
      <c r="D411" s="123"/>
      <c r="E411" s="123"/>
      <c r="F411" s="123"/>
      <c r="G411" s="127" t="s">
        <v>110</v>
      </c>
      <c r="H411" s="128">
        <v>2012</v>
      </c>
      <c r="I411" s="128" t="s">
        <v>154</v>
      </c>
      <c r="J411" s="128">
        <f t="shared" si="12"/>
        <v>5</v>
      </c>
      <c r="K411" s="128" t="s">
        <v>1454</v>
      </c>
      <c r="L411" s="128" t="s">
        <v>30</v>
      </c>
      <c r="M411" s="129" t="s">
        <v>31</v>
      </c>
      <c r="N411" s="129" t="s">
        <v>28</v>
      </c>
      <c r="O411" s="129" t="s">
        <v>28</v>
      </c>
      <c r="P411" s="129" t="str">
        <f t="shared" si="13"/>
        <v>N/A</v>
      </c>
      <c r="Q411" s="128" t="s">
        <v>1455</v>
      </c>
      <c r="R411" s="128">
        <v>3.16</v>
      </c>
      <c r="S411" s="130"/>
      <c r="T411" s="130" t="s">
        <v>31</v>
      </c>
      <c r="U411" s="131"/>
    </row>
    <row r="412" spans="1:21" ht="15.75" hidden="1" thickBot="1">
      <c r="A412" s="45">
        <v>1091</v>
      </c>
      <c r="B412" s="123"/>
      <c r="C412" s="123"/>
      <c r="D412" s="123"/>
      <c r="E412" s="123"/>
      <c r="F412" s="123"/>
      <c r="G412" s="127" t="s">
        <v>110</v>
      </c>
      <c r="H412" s="128">
        <v>2012</v>
      </c>
      <c r="I412" s="128" t="s">
        <v>154</v>
      </c>
      <c r="J412" s="128">
        <f t="shared" si="12"/>
        <v>5</v>
      </c>
      <c r="K412" s="128" t="s">
        <v>127</v>
      </c>
      <c r="L412" s="128" t="s">
        <v>40</v>
      </c>
      <c r="M412" s="129" t="s">
        <v>31</v>
      </c>
      <c r="N412" s="129" t="s">
        <v>32</v>
      </c>
      <c r="O412" s="129" t="s">
        <v>32</v>
      </c>
      <c r="P412" s="129" t="str">
        <f t="shared" si="13"/>
        <v>Y</v>
      </c>
      <c r="Q412" s="130"/>
      <c r="R412" s="128">
        <v>45.04</v>
      </c>
      <c r="S412" s="128">
        <v>60.7</v>
      </c>
      <c r="T412" s="130"/>
      <c r="U412" s="147"/>
    </row>
    <row r="413" spans="1:21" ht="15.75" hidden="1" thickBot="1">
      <c r="A413" s="45">
        <v>1091</v>
      </c>
      <c r="B413" s="123"/>
      <c r="C413" s="123"/>
      <c r="D413" s="123"/>
      <c r="E413" s="123"/>
      <c r="F413" s="123"/>
      <c r="G413" s="127" t="s">
        <v>110</v>
      </c>
      <c r="H413" s="128">
        <v>2012</v>
      </c>
      <c r="I413" s="128" t="s">
        <v>154</v>
      </c>
      <c r="J413" s="128">
        <f t="shared" si="12"/>
        <v>5</v>
      </c>
      <c r="K413" s="128" t="s">
        <v>1456</v>
      </c>
      <c r="L413" s="128" t="s">
        <v>40</v>
      </c>
      <c r="M413" s="129" t="s">
        <v>201</v>
      </c>
      <c r="N413" s="129" t="s">
        <v>28</v>
      </c>
      <c r="O413" s="129" t="s">
        <v>28</v>
      </c>
      <c r="P413" s="129" t="str">
        <f t="shared" si="13"/>
        <v>N/A</v>
      </c>
      <c r="Q413" s="128" t="s">
        <v>1455</v>
      </c>
      <c r="R413" s="128">
        <v>6.08</v>
      </c>
      <c r="S413" s="130"/>
      <c r="T413" s="130"/>
      <c r="U413" s="147"/>
    </row>
    <row r="414" spans="1:21" ht="15.75" hidden="1" thickBot="1">
      <c r="A414" s="123">
        <v>1092</v>
      </c>
      <c r="B414" s="123"/>
      <c r="C414" s="123"/>
      <c r="D414" s="123"/>
      <c r="E414" s="123"/>
      <c r="F414" s="123"/>
      <c r="G414" s="127" t="s">
        <v>110</v>
      </c>
      <c r="H414" s="128">
        <v>2012</v>
      </c>
      <c r="I414" s="128" t="s">
        <v>76</v>
      </c>
      <c r="J414" s="128">
        <f t="shared" si="12"/>
        <v>7</v>
      </c>
      <c r="K414" s="128" t="s">
        <v>1457</v>
      </c>
      <c r="L414" s="128" t="s">
        <v>40</v>
      </c>
      <c r="M414" s="129" t="s">
        <v>31</v>
      </c>
      <c r="N414" s="129" t="s">
        <v>28</v>
      </c>
      <c r="O414" s="129" t="s">
        <v>28</v>
      </c>
      <c r="P414" s="129" t="str">
        <f t="shared" si="13"/>
        <v>N/A</v>
      </c>
      <c r="Q414" s="128" t="s">
        <v>1455</v>
      </c>
      <c r="R414" s="128">
        <v>25.31</v>
      </c>
      <c r="S414" s="128">
        <v>48.22</v>
      </c>
      <c r="T414" s="130" t="s">
        <v>31</v>
      </c>
      <c r="U414" s="147"/>
    </row>
    <row r="415" spans="1:21" ht="15.75" hidden="1" thickBot="1">
      <c r="A415" s="123">
        <v>1092</v>
      </c>
      <c r="B415" s="123"/>
      <c r="C415" s="123"/>
      <c r="D415" s="123"/>
      <c r="E415" s="123"/>
      <c r="F415" s="123"/>
      <c r="G415" s="127" t="s">
        <v>110</v>
      </c>
      <c r="H415" s="128">
        <v>2012</v>
      </c>
      <c r="I415" s="128" t="s">
        <v>76</v>
      </c>
      <c r="J415" s="128">
        <f t="shared" si="12"/>
        <v>7</v>
      </c>
      <c r="K415" s="128" t="s">
        <v>1458</v>
      </c>
      <c r="L415" s="128" t="s">
        <v>30</v>
      </c>
      <c r="M415" s="129" t="s">
        <v>31</v>
      </c>
      <c r="N415" s="129" t="s">
        <v>28</v>
      </c>
      <c r="O415" s="129" t="s">
        <v>28</v>
      </c>
      <c r="P415" s="129" t="str">
        <f t="shared" si="13"/>
        <v>N/A</v>
      </c>
      <c r="Q415" s="128" t="s">
        <v>1455</v>
      </c>
      <c r="R415" s="128">
        <v>4.84</v>
      </c>
      <c r="S415" s="130"/>
      <c r="T415" s="130" t="s">
        <v>31</v>
      </c>
      <c r="U415" s="147"/>
    </row>
    <row r="416" spans="1:21" ht="15.75" hidden="1" thickBot="1">
      <c r="A416" s="123">
        <v>1092</v>
      </c>
      <c r="B416" s="123"/>
      <c r="C416" s="123"/>
      <c r="D416" s="123"/>
      <c r="E416" s="123"/>
      <c r="F416" s="123"/>
      <c r="G416" s="127" t="s">
        <v>110</v>
      </c>
      <c r="H416" s="128">
        <v>2012</v>
      </c>
      <c r="I416" s="128" t="s">
        <v>76</v>
      </c>
      <c r="J416" s="128">
        <f t="shared" si="12"/>
        <v>7</v>
      </c>
      <c r="K416" s="128" t="s">
        <v>129</v>
      </c>
      <c r="L416" s="128" t="s">
        <v>30</v>
      </c>
      <c r="M416" s="129" t="s">
        <v>31</v>
      </c>
      <c r="N416" s="129" t="s">
        <v>32</v>
      </c>
      <c r="O416" s="129" t="s">
        <v>28</v>
      </c>
      <c r="P416" s="129" t="str">
        <f t="shared" si="13"/>
        <v>N/A</v>
      </c>
      <c r="Q416" s="132" t="s">
        <v>1455</v>
      </c>
      <c r="R416" s="128">
        <v>28.82</v>
      </c>
      <c r="S416" s="128">
        <v>51.78</v>
      </c>
      <c r="T416" s="130" t="s">
        <v>31</v>
      </c>
      <c r="U416" s="147"/>
    </row>
    <row r="417" spans="1:21" ht="15.75" hidden="1" thickBot="1">
      <c r="A417" s="123">
        <v>1092</v>
      </c>
      <c r="B417" s="123"/>
      <c r="C417" s="123"/>
      <c r="D417" s="123"/>
      <c r="E417" s="123"/>
      <c r="F417" s="123"/>
      <c r="G417" s="127" t="s">
        <v>110</v>
      </c>
      <c r="H417" s="128">
        <v>2012</v>
      </c>
      <c r="I417" s="128" t="s">
        <v>76</v>
      </c>
      <c r="J417" s="128">
        <f t="shared" si="12"/>
        <v>7</v>
      </c>
      <c r="K417" s="128" t="s">
        <v>1459</v>
      </c>
      <c r="L417" s="128" t="s">
        <v>30</v>
      </c>
      <c r="M417" s="129" t="s">
        <v>31</v>
      </c>
      <c r="N417" s="129" t="s">
        <v>28</v>
      </c>
      <c r="O417" s="129" t="s">
        <v>28</v>
      </c>
      <c r="P417" s="129" t="str">
        <f t="shared" si="13"/>
        <v>N/A</v>
      </c>
      <c r="Q417" s="128" t="s">
        <v>1455</v>
      </c>
      <c r="R417" s="128">
        <v>6.49</v>
      </c>
      <c r="S417" s="130"/>
      <c r="T417" s="130" t="s">
        <v>998</v>
      </c>
      <c r="U417" s="147"/>
    </row>
    <row r="418" spans="1:21" ht="15.75" hidden="1" thickBot="1">
      <c r="A418" s="123">
        <v>1092</v>
      </c>
      <c r="B418" s="123"/>
      <c r="C418" s="123"/>
      <c r="D418" s="123"/>
      <c r="E418" s="123"/>
      <c r="F418" s="123"/>
      <c r="G418" s="127" t="s">
        <v>110</v>
      </c>
      <c r="H418" s="128">
        <v>2012</v>
      </c>
      <c r="I418" s="128" t="s">
        <v>76</v>
      </c>
      <c r="J418" s="128">
        <f t="shared" si="12"/>
        <v>7</v>
      </c>
      <c r="K418" s="128" t="s">
        <v>1460</v>
      </c>
      <c r="L418" s="128" t="s">
        <v>30</v>
      </c>
      <c r="M418" s="129" t="s">
        <v>31</v>
      </c>
      <c r="N418" s="129" t="s">
        <v>28</v>
      </c>
      <c r="O418" s="129" t="s">
        <v>28</v>
      </c>
      <c r="P418" s="129" t="str">
        <f t="shared" si="13"/>
        <v>N/A</v>
      </c>
      <c r="Q418" s="128" t="s">
        <v>1455</v>
      </c>
      <c r="R418" s="128">
        <v>7.5</v>
      </c>
      <c r="S418" s="130"/>
      <c r="T418" s="130" t="s">
        <v>31</v>
      </c>
      <c r="U418" s="147"/>
    </row>
    <row r="419" spans="1:21" ht="15.75" hidden="1" thickBot="1">
      <c r="A419" s="123">
        <v>1092</v>
      </c>
      <c r="B419" s="123"/>
      <c r="C419" s="123"/>
      <c r="D419" s="123"/>
      <c r="E419" s="123"/>
      <c r="F419" s="123"/>
      <c r="G419" s="127" t="s">
        <v>110</v>
      </c>
      <c r="H419" s="128">
        <v>2012</v>
      </c>
      <c r="I419" s="128" t="s">
        <v>76</v>
      </c>
      <c r="J419" s="128">
        <f t="shared" si="12"/>
        <v>7</v>
      </c>
      <c r="K419" s="128" t="s">
        <v>1461</v>
      </c>
      <c r="L419" s="128" t="s">
        <v>30</v>
      </c>
      <c r="M419" s="129" t="s">
        <v>31</v>
      </c>
      <c r="N419" s="129" t="s">
        <v>28</v>
      </c>
      <c r="O419" s="129" t="s">
        <v>28</v>
      </c>
      <c r="P419" s="129" t="str">
        <f t="shared" si="13"/>
        <v>N/A</v>
      </c>
      <c r="Q419" s="132" t="s">
        <v>1455</v>
      </c>
      <c r="R419" s="128">
        <v>6.66</v>
      </c>
      <c r="S419" s="130"/>
      <c r="T419" s="130" t="s">
        <v>31</v>
      </c>
      <c r="U419" s="147"/>
    </row>
    <row r="420" spans="1:21" ht="15.75" hidden="1" thickBot="1">
      <c r="A420" s="123">
        <v>1092</v>
      </c>
      <c r="B420" s="123"/>
      <c r="C420" s="123"/>
      <c r="D420" s="123"/>
      <c r="E420" s="123"/>
      <c r="F420" s="123"/>
      <c r="G420" s="127" t="s">
        <v>110</v>
      </c>
      <c r="H420" s="128">
        <v>2012</v>
      </c>
      <c r="I420" s="128" t="s">
        <v>76</v>
      </c>
      <c r="J420" s="128">
        <f t="shared" si="12"/>
        <v>7</v>
      </c>
      <c r="K420" s="128" t="s">
        <v>1462</v>
      </c>
      <c r="L420" s="128" t="s">
        <v>30</v>
      </c>
      <c r="M420" s="129" t="s">
        <v>1065</v>
      </c>
      <c r="N420" s="129" t="s">
        <v>28</v>
      </c>
      <c r="O420" s="129" t="s">
        <v>28</v>
      </c>
      <c r="P420" s="129" t="str">
        <f t="shared" si="13"/>
        <v>N/A</v>
      </c>
      <c r="Q420" s="128" t="s">
        <v>1455</v>
      </c>
      <c r="R420" s="128">
        <v>20.010000000000002</v>
      </c>
      <c r="S420" s="130"/>
      <c r="T420" s="130" t="s">
        <v>998</v>
      </c>
      <c r="U420" s="147"/>
    </row>
    <row r="421" spans="1:21" ht="15.75" thickBot="1">
      <c r="A421" s="45">
        <v>1093</v>
      </c>
      <c r="B421" s="123"/>
      <c r="C421" s="123"/>
      <c r="D421" s="123"/>
      <c r="E421" s="123"/>
      <c r="F421" s="123"/>
      <c r="G421" s="127" t="s">
        <v>110</v>
      </c>
      <c r="H421" s="128">
        <v>2012</v>
      </c>
      <c r="I421" s="128" t="s">
        <v>130</v>
      </c>
      <c r="J421" s="128">
        <f t="shared" si="12"/>
        <v>2</v>
      </c>
      <c r="K421" s="128" t="s">
        <v>131</v>
      </c>
      <c r="L421" s="128" t="s">
        <v>40</v>
      </c>
      <c r="M421" s="129" t="s">
        <v>31</v>
      </c>
      <c r="N421" s="129" t="s">
        <v>32</v>
      </c>
      <c r="O421" s="129"/>
      <c r="P421" s="129" t="str">
        <f t="shared" si="13"/>
        <v/>
      </c>
      <c r="Q421" s="132" t="s">
        <v>1463</v>
      </c>
      <c r="R421" s="128">
        <v>75.45</v>
      </c>
      <c r="S421" s="130"/>
      <c r="T421" s="130" t="s">
        <v>31</v>
      </c>
      <c r="U421" s="147"/>
    </row>
    <row r="422" spans="1:21" ht="15.75" thickBot="1">
      <c r="A422" s="45">
        <v>1093</v>
      </c>
      <c r="B422" s="123"/>
      <c r="C422" s="123"/>
      <c r="D422" s="123"/>
      <c r="E422" s="123"/>
      <c r="F422" s="123"/>
      <c r="G422" s="127" t="s">
        <v>110</v>
      </c>
      <c r="H422" s="128">
        <v>2012</v>
      </c>
      <c r="I422" s="128" t="s">
        <v>130</v>
      </c>
      <c r="J422" s="128">
        <f t="shared" si="12"/>
        <v>2</v>
      </c>
      <c r="K422" s="128" t="s">
        <v>1464</v>
      </c>
      <c r="L422" s="128" t="s">
        <v>40</v>
      </c>
      <c r="M422" s="129" t="s">
        <v>201</v>
      </c>
      <c r="N422" s="129" t="s">
        <v>28</v>
      </c>
      <c r="O422" s="129"/>
      <c r="P422" s="129" t="str">
        <f t="shared" si="13"/>
        <v/>
      </c>
      <c r="Q422" s="128" t="s">
        <v>1465</v>
      </c>
      <c r="R422" s="128">
        <v>23.85</v>
      </c>
      <c r="S422" s="130"/>
      <c r="T422" s="130" t="s">
        <v>998</v>
      </c>
      <c r="U422" s="147"/>
    </row>
    <row r="423" spans="1:21" ht="15.75" hidden="1" thickBot="1">
      <c r="A423" s="123">
        <v>1094</v>
      </c>
      <c r="B423" s="123"/>
      <c r="C423" s="123"/>
      <c r="D423" s="123"/>
      <c r="E423" s="123"/>
      <c r="F423" s="123"/>
      <c r="G423" s="127" t="s">
        <v>110</v>
      </c>
      <c r="H423" s="128">
        <v>2012</v>
      </c>
      <c r="I423" s="128" t="s">
        <v>94</v>
      </c>
      <c r="J423" s="128">
        <f t="shared" si="12"/>
        <v>6</v>
      </c>
      <c r="K423" s="128" t="s">
        <v>1466</v>
      </c>
      <c r="L423" s="128" t="s">
        <v>30</v>
      </c>
      <c r="M423" s="129" t="s">
        <v>1003</v>
      </c>
      <c r="N423" s="129" t="s">
        <v>28</v>
      </c>
      <c r="O423" s="129" t="s">
        <v>28</v>
      </c>
      <c r="P423" s="129" t="str">
        <f t="shared" si="13"/>
        <v>N/A</v>
      </c>
      <c r="Q423" s="128" t="s">
        <v>1455</v>
      </c>
      <c r="R423" s="128">
        <v>9.07</v>
      </c>
      <c r="S423" s="130"/>
      <c r="T423" s="130" t="s">
        <v>31</v>
      </c>
      <c r="U423" s="147"/>
    </row>
    <row r="424" spans="1:21" ht="15.75" hidden="1" thickBot="1">
      <c r="A424" s="123">
        <v>1094</v>
      </c>
      <c r="B424" s="123"/>
      <c r="C424" s="123"/>
      <c r="D424" s="123"/>
      <c r="E424" s="123"/>
      <c r="F424" s="123"/>
      <c r="G424" s="127" t="s">
        <v>110</v>
      </c>
      <c r="H424" s="128">
        <v>2012</v>
      </c>
      <c r="I424" s="128" t="s">
        <v>94</v>
      </c>
      <c r="J424" s="128">
        <f t="shared" si="12"/>
        <v>6</v>
      </c>
      <c r="K424" s="128" t="s">
        <v>1467</v>
      </c>
      <c r="L424" s="128" t="s">
        <v>30</v>
      </c>
      <c r="M424" s="129" t="s">
        <v>201</v>
      </c>
      <c r="N424" s="129" t="s">
        <v>28</v>
      </c>
      <c r="O424" s="129" t="s">
        <v>28</v>
      </c>
      <c r="P424" s="129" t="str">
        <f t="shared" si="13"/>
        <v>N/A</v>
      </c>
      <c r="Q424" s="128" t="s">
        <v>1455</v>
      </c>
      <c r="R424" s="128">
        <v>14.26</v>
      </c>
      <c r="S424" s="130"/>
      <c r="T424" s="130" t="s">
        <v>998</v>
      </c>
      <c r="U424" s="147"/>
    </row>
    <row r="425" spans="1:21" ht="15.75" hidden="1" thickBot="1">
      <c r="A425" s="123">
        <v>1094</v>
      </c>
      <c r="B425" s="123"/>
      <c r="C425" s="123"/>
      <c r="D425" s="123"/>
      <c r="E425" s="123"/>
      <c r="F425" s="123"/>
      <c r="G425" s="127" t="s">
        <v>110</v>
      </c>
      <c r="H425" s="128">
        <v>2012</v>
      </c>
      <c r="I425" s="128" t="s">
        <v>94</v>
      </c>
      <c r="J425" s="128">
        <f t="shared" si="12"/>
        <v>6</v>
      </c>
      <c r="K425" s="128" t="s">
        <v>1424</v>
      </c>
      <c r="L425" s="128" t="s">
        <v>30</v>
      </c>
      <c r="M425" s="129" t="s">
        <v>201</v>
      </c>
      <c r="N425" s="129" t="s">
        <v>28</v>
      </c>
      <c r="O425" s="129" t="s">
        <v>28</v>
      </c>
      <c r="P425" s="129" t="str">
        <f t="shared" si="13"/>
        <v>N/A</v>
      </c>
      <c r="Q425" s="128" t="s">
        <v>1455</v>
      </c>
      <c r="R425" s="128">
        <v>8.86</v>
      </c>
      <c r="S425" s="130"/>
      <c r="T425" s="130" t="s">
        <v>998</v>
      </c>
      <c r="U425" s="147"/>
    </row>
    <row r="426" spans="1:21" ht="15.75" hidden="1" thickBot="1">
      <c r="A426" s="123">
        <v>1094</v>
      </c>
      <c r="B426" s="123"/>
      <c r="C426" s="123"/>
      <c r="D426" s="123"/>
      <c r="E426" s="123"/>
      <c r="F426" s="123"/>
      <c r="G426" s="127" t="s">
        <v>110</v>
      </c>
      <c r="H426" s="128">
        <v>2012</v>
      </c>
      <c r="I426" s="128" t="s">
        <v>94</v>
      </c>
      <c r="J426" s="128">
        <f t="shared" si="12"/>
        <v>6</v>
      </c>
      <c r="K426" s="128" t="s">
        <v>133</v>
      </c>
      <c r="L426" s="128" t="s">
        <v>40</v>
      </c>
      <c r="M426" s="129" t="s">
        <v>201</v>
      </c>
      <c r="N426" s="129" t="s">
        <v>32</v>
      </c>
      <c r="O426" s="129" t="s">
        <v>28</v>
      </c>
      <c r="P426" s="129" t="str">
        <f t="shared" si="13"/>
        <v>N/A</v>
      </c>
      <c r="Q426" s="132" t="s">
        <v>1455</v>
      </c>
      <c r="R426" s="128">
        <v>23.54</v>
      </c>
      <c r="S426" s="128">
        <v>53.92</v>
      </c>
      <c r="T426" s="130" t="s">
        <v>998</v>
      </c>
      <c r="U426" s="147"/>
    </row>
    <row r="427" spans="1:21" ht="15.75" hidden="1" thickBot="1">
      <c r="A427" s="123">
        <v>1094</v>
      </c>
      <c r="B427" s="123"/>
      <c r="C427" s="123"/>
      <c r="D427" s="123"/>
      <c r="E427" s="123"/>
      <c r="F427" s="123"/>
      <c r="G427" s="127" t="s">
        <v>110</v>
      </c>
      <c r="H427" s="128">
        <v>2012</v>
      </c>
      <c r="I427" s="128" t="s">
        <v>94</v>
      </c>
      <c r="J427" s="128">
        <f t="shared" si="12"/>
        <v>6</v>
      </c>
      <c r="K427" s="128" t="s">
        <v>1468</v>
      </c>
      <c r="L427" s="128" t="s">
        <v>40</v>
      </c>
      <c r="M427" s="129" t="s">
        <v>201</v>
      </c>
      <c r="N427" s="129" t="s">
        <v>28</v>
      </c>
      <c r="O427" s="129" t="s">
        <v>28</v>
      </c>
      <c r="P427" s="129" t="str">
        <f t="shared" si="13"/>
        <v>N/A</v>
      </c>
      <c r="Q427" s="128" t="s">
        <v>1455</v>
      </c>
      <c r="R427" s="128">
        <v>17.68</v>
      </c>
      <c r="S427" s="130"/>
      <c r="T427" s="130" t="s">
        <v>998</v>
      </c>
      <c r="U427" s="147"/>
    </row>
    <row r="428" spans="1:21" ht="15.75" hidden="1" thickBot="1">
      <c r="A428" s="123">
        <v>1094</v>
      </c>
      <c r="B428" s="123"/>
      <c r="C428" s="123"/>
      <c r="D428" s="123"/>
      <c r="E428" s="123"/>
      <c r="F428" s="123"/>
      <c r="G428" s="127" t="s">
        <v>110</v>
      </c>
      <c r="H428" s="128">
        <v>2012</v>
      </c>
      <c r="I428" s="128" t="s">
        <v>94</v>
      </c>
      <c r="J428" s="128">
        <f t="shared" si="12"/>
        <v>6</v>
      </c>
      <c r="K428" s="128" t="s">
        <v>1405</v>
      </c>
      <c r="L428" s="128" t="s">
        <v>30</v>
      </c>
      <c r="M428" s="129" t="s">
        <v>31</v>
      </c>
      <c r="N428" s="129" t="s">
        <v>28</v>
      </c>
      <c r="O428" s="129" t="s">
        <v>28</v>
      </c>
      <c r="P428" s="129" t="str">
        <f t="shared" si="13"/>
        <v>N/A</v>
      </c>
      <c r="Q428" s="128" t="s">
        <v>1455</v>
      </c>
      <c r="R428" s="128">
        <v>25.99</v>
      </c>
      <c r="S428" s="128">
        <v>46.08</v>
      </c>
      <c r="T428" s="130" t="s">
        <v>31</v>
      </c>
      <c r="U428" s="147"/>
    </row>
    <row r="429" spans="1:21" ht="15.75" thickBot="1">
      <c r="A429" s="45">
        <v>1095</v>
      </c>
      <c r="B429" s="123"/>
      <c r="C429" s="123"/>
      <c r="D429" s="123"/>
      <c r="E429" s="123"/>
      <c r="F429" s="123"/>
      <c r="G429" s="127" t="s">
        <v>110</v>
      </c>
      <c r="H429" s="128">
        <v>2012</v>
      </c>
      <c r="I429" s="128" t="s">
        <v>134</v>
      </c>
      <c r="J429" s="128">
        <f t="shared" si="12"/>
        <v>3</v>
      </c>
      <c r="K429" s="128" t="s">
        <v>1469</v>
      </c>
      <c r="L429" s="128" t="s">
        <v>30</v>
      </c>
      <c r="M429" s="129" t="s">
        <v>31</v>
      </c>
      <c r="N429" s="129" t="s">
        <v>28</v>
      </c>
      <c r="O429" s="129"/>
      <c r="P429" s="129" t="str">
        <f t="shared" si="13"/>
        <v/>
      </c>
      <c r="Q429" s="132" t="s">
        <v>1470</v>
      </c>
      <c r="R429" s="128">
        <v>25.6</v>
      </c>
      <c r="S429" s="130"/>
      <c r="T429" s="130" t="s">
        <v>31</v>
      </c>
      <c r="U429" s="147"/>
    </row>
    <row r="430" spans="1:21" ht="15.75" thickBot="1">
      <c r="A430" s="45">
        <v>1095</v>
      </c>
      <c r="B430" s="123"/>
      <c r="C430" s="123"/>
      <c r="D430" s="123"/>
      <c r="E430" s="123"/>
      <c r="F430" s="123"/>
      <c r="G430" s="127" t="s">
        <v>110</v>
      </c>
      <c r="H430" s="128">
        <v>2012</v>
      </c>
      <c r="I430" s="128" t="s">
        <v>134</v>
      </c>
      <c r="J430" s="128">
        <f t="shared" si="12"/>
        <v>3</v>
      </c>
      <c r="K430" s="128" t="s">
        <v>136</v>
      </c>
      <c r="L430" s="128" t="s">
        <v>40</v>
      </c>
      <c r="M430" s="129" t="s">
        <v>201</v>
      </c>
      <c r="N430" s="129" t="s">
        <v>32</v>
      </c>
      <c r="O430" s="129"/>
      <c r="P430" s="129" t="str">
        <f t="shared" si="13"/>
        <v/>
      </c>
      <c r="Q430" s="132" t="s">
        <v>1471</v>
      </c>
      <c r="R430" s="128">
        <v>46.8</v>
      </c>
      <c r="S430" s="128">
        <v>61.03</v>
      </c>
      <c r="T430" s="130" t="s">
        <v>998</v>
      </c>
      <c r="U430" s="147"/>
    </row>
    <row r="431" spans="1:21" ht="15.75" thickBot="1">
      <c r="A431" s="45">
        <v>1095</v>
      </c>
      <c r="B431" s="123"/>
      <c r="C431" s="123"/>
      <c r="D431" s="123"/>
      <c r="E431" s="123"/>
      <c r="F431" s="123"/>
      <c r="G431" s="127" t="s">
        <v>110</v>
      </c>
      <c r="H431" s="128">
        <v>2012</v>
      </c>
      <c r="I431" s="128" t="s">
        <v>134</v>
      </c>
      <c r="J431" s="128">
        <f t="shared" si="12"/>
        <v>3</v>
      </c>
      <c r="K431" s="128" t="s">
        <v>1472</v>
      </c>
      <c r="L431" s="128" t="s">
        <v>30</v>
      </c>
      <c r="M431" s="129" t="s">
        <v>1065</v>
      </c>
      <c r="N431" s="129" t="s">
        <v>28</v>
      </c>
      <c r="O431" s="129"/>
      <c r="P431" s="129" t="str">
        <f t="shared" si="13"/>
        <v/>
      </c>
      <c r="Q431" s="132" t="s">
        <v>1473</v>
      </c>
      <c r="R431" s="128">
        <v>26.76</v>
      </c>
      <c r="S431" s="128">
        <v>38.97</v>
      </c>
      <c r="T431" s="130" t="s">
        <v>31</v>
      </c>
      <c r="U431" s="147"/>
    </row>
    <row r="432" spans="1:21" ht="15.75" hidden="1" thickBot="1">
      <c r="A432" s="123">
        <v>1096</v>
      </c>
      <c r="B432" s="123"/>
      <c r="C432" s="123"/>
      <c r="D432" s="123"/>
      <c r="E432" s="123"/>
      <c r="F432" s="123"/>
      <c r="G432" s="127" t="s">
        <v>110</v>
      </c>
      <c r="H432" s="128">
        <v>2012</v>
      </c>
      <c r="I432" s="128" t="s">
        <v>97</v>
      </c>
      <c r="J432" s="128">
        <f t="shared" si="12"/>
        <v>4</v>
      </c>
      <c r="K432" s="128" t="s">
        <v>1474</v>
      </c>
      <c r="L432" s="128" t="s">
        <v>40</v>
      </c>
      <c r="M432" s="129" t="s">
        <v>1065</v>
      </c>
      <c r="N432" s="129" t="s">
        <v>28</v>
      </c>
      <c r="O432" s="129" t="s">
        <v>28</v>
      </c>
      <c r="P432" s="129" t="str">
        <f t="shared" si="13"/>
        <v>N/A</v>
      </c>
      <c r="Q432" s="128" t="s">
        <v>1455</v>
      </c>
      <c r="R432" s="128">
        <v>6.67</v>
      </c>
      <c r="S432" s="130"/>
      <c r="T432" s="130" t="s">
        <v>998</v>
      </c>
      <c r="U432" s="147"/>
    </row>
    <row r="433" spans="1:21" ht="15.75" hidden="1" thickBot="1">
      <c r="A433" s="123">
        <v>1096</v>
      </c>
      <c r="B433" s="123"/>
      <c r="C433" s="123"/>
      <c r="D433" s="123"/>
      <c r="E433" s="123"/>
      <c r="F433" s="123"/>
      <c r="G433" s="127" t="s">
        <v>110</v>
      </c>
      <c r="H433" s="128">
        <v>2012</v>
      </c>
      <c r="I433" s="128" t="s">
        <v>97</v>
      </c>
      <c r="J433" s="128">
        <f t="shared" si="12"/>
        <v>4</v>
      </c>
      <c r="K433" s="128" t="s">
        <v>1475</v>
      </c>
      <c r="L433" s="128" t="s">
        <v>40</v>
      </c>
      <c r="M433" s="129" t="s">
        <v>31</v>
      </c>
      <c r="N433" s="129" t="s">
        <v>28</v>
      </c>
      <c r="O433" s="129" t="s">
        <v>28</v>
      </c>
      <c r="P433" s="129" t="str">
        <f t="shared" si="13"/>
        <v>N/A</v>
      </c>
      <c r="Q433" s="128" t="s">
        <v>1455</v>
      </c>
      <c r="R433" s="128">
        <v>18.239999999999998</v>
      </c>
      <c r="S433" s="130"/>
      <c r="T433" s="130" t="s">
        <v>31</v>
      </c>
      <c r="U433" s="147"/>
    </row>
    <row r="434" spans="1:21" ht="15.75" hidden="1" thickBot="1">
      <c r="A434" s="123">
        <v>1096</v>
      </c>
      <c r="B434" s="123"/>
      <c r="C434" s="123"/>
      <c r="D434" s="123"/>
      <c r="E434" s="123"/>
      <c r="F434" s="123"/>
      <c r="G434" s="127" t="s">
        <v>110</v>
      </c>
      <c r="H434" s="128">
        <v>2012</v>
      </c>
      <c r="I434" s="128" t="s">
        <v>97</v>
      </c>
      <c r="J434" s="128">
        <f t="shared" si="12"/>
        <v>4</v>
      </c>
      <c r="K434" s="128" t="s">
        <v>1409</v>
      </c>
      <c r="L434" s="128" t="s">
        <v>30</v>
      </c>
      <c r="M434" s="129" t="s">
        <v>1065</v>
      </c>
      <c r="N434" s="129" t="s">
        <v>28</v>
      </c>
      <c r="O434" s="129" t="s">
        <v>28</v>
      </c>
      <c r="P434" s="129" t="str">
        <f t="shared" si="13"/>
        <v>N/A</v>
      </c>
      <c r="Q434" s="128" t="s">
        <v>1455</v>
      </c>
      <c r="R434" s="128">
        <v>33.42</v>
      </c>
      <c r="S434" s="128">
        <v>45.35</v>
      </c>
      <c r="T434" s="130" t="s">
        <v>998</v>
      </c>
      <c r="U434" s="147"/>
    </row>
    <row r="435" spans="1:21" ht="15.75" hidden="1" thickBot="1">
      <c r="A435" s="123">
        <v>1096</v>
      </c>
      <c r="B435" s="123"/>
      <c r="C435" s="123"/>
      <c r="D435" s="123"/>
      <c r="E435" s="123"/>
      <c r="F435" s="123"/>
      <c r="G435" s="127" t="s">
        <v>110</v>
      </c>
      <c r="H435" s="128">
        <v>2012</v>
      </c>
      <c r="I435" s="128" t="s">
        <v>97</v>
      </c>
      <c r="J435" s="128">
        <f t="shared" si="12"/>
        <v>4</v>
      </c>
      <c r="K435" s="128" t="s">
        <v>137</v>
      </c>
      <c r="L435" s="128" t="s">
        <v>30</v>
      </c>
      <c r="M435" s="129" t="s">
        <v>1065</v>
      </c>
      <c r="N435" s="129" t="s">
        <v>32</v>
      </c>
      <c r="O435" s="129" t="s">
        <v>28</v>
      </c>
      <c r="P435" s="129" t="str">
        <f t="shared" si="13"/>
        <v>N/A</v>
      </c>
      <c r="Q435" s="132" t="s">
        <v>1455</v>
      </c>
      <c r="R435" s="128">
        <v>41.02</v>
      </c>
      <c r="S435" s="128">
        <v>54.65</v>
      </c>
      <c r="T435" s="130" t="s">
        <v>31</v>
      </c>
      <c r="U435" s="147"/>
    </row>
    <row r="436" spans="1:21" ht="15.75" thickBot="1">
      <c r="A436" s="45">
        <v>1097</v>
      </c>
      <c r="B436" s="123"/>
      <c r="C436" s="123"/>
      <c r="D436" s="123"/>
      <c r="E436" s="123"/>
      <c r="F436" s="123"/>
      <c r="G436" s="127" t="s">
        <v>110</v>
      </c>
      <c r="H436" s="128">
        <v>2012</v>
      </c>
      <c r="I436" s="128" t="s">
        <v>138</v>
      </c>
      <c r="J436" s="128">
        <f t="shared" si="12"/>
        <v>2</v>
      </c>
      <c r="K436" s="128" t="s">
        <v>1476</v>
      </c>
      <c r="L436" s="128" t="s">
        <v>30</v>
      </c>
      <c r="M436" s="129" t="s">
        <v>201</v>
      </c>
      <c r="N436" s="129" t="s">
        <v>28</v>
      </c>
      <c r="O436" s="129"/>
      <c r="P436" s="129" t="str">
        <f t="shared" si="13"/>
        <v/>
      </c>
      <c r="Q436" s="128" t="s">
        <v>1477</v>
      </c>
      <c r="R436" s="128">
        <v>44.9</v>
      </c>
      <c r="S436" s="130"/>
      <c r="T436" s="130" t="s">
        <v>998</v>
      </c>
      <c r="U436" s="147"/>
    </row>
    <row r="437" spans="1:21" ht="15.75" thickBot="1">
      <c r="A437" s="45">
        <v>1097</v>
      </c>
      <c r="B437" s="123"/>
      <c r="C437" s="123"/>
      <c r="D437" s="123"/>
      <c r="E437" s="123"/>
      <c r="F437" s="123"/>
      <c r="G437" s="127" t="s">
        <v>110</v>
      </c>
      <c r="H437" s="128">
        <v>2012</v>
      </c>
      <c r="I437" s="128" t="s">
        <v>138</v>
      </c>
      <c r="J437" s="128">
        <f t="shared" si="12"/>
        <v>2</v>
      </c>
      <c r="K437" s="128" t="s">
        <v>139</v>
      </c>
      <c r="L437" s="128" t="s">
        <v>40</v>
      </c>
      <c r="M437" s="129" t="s">
        <v>1065</v>
      </c>
      <c r="N437" s="129" t="s">
        <v>32</v>
      </c>
      <c r="O437" s="129"/>
      <c r="P437" s="129" t="str">
        <f t="shared" si="13"/>
        <v/>
      </c>
      <c r="Q437" s="132" t="s">
        <v>1478</v>
      </c>
      <c r="R437" s="128">
        <v>54.38</v>
      </c>
      <c r="S437" s="130"/>
      <c r="T437" s="130" t="s">
        <v>998</v>
      </c>
      <c r="U437" s="147"/>
    </row>
    <row r="438" spans="1:21" ht="15.75" hidden="1" thickBot="1">
      <c r="A438" s="123">
        <v>1098</v>
      </c>
      <c r="B438" s="123"/>
      <c r="C438" s="123"/>
      <c r="D438" s="123"/>
      <c r="E438" s="123"/>
      <c r="F438" s="123"/>
      <c r="G438" s="127" t="s">
        <v>110</v>
      </c>
      <c r="H438" s="128">
        <v>2012</v>
      </c>
      <c r="I438" s="128" t="s">
        <v>82</v>
      </c>
      <c r="J438" s="128">
        <f t="shared" si="12"/>
        <v>3</v>
      </c>
      <c r="K438" s="128" t="s">
        <v>1413</v>
      </c>
      <c r="L438" s="128" t="s">
        <v>40</v>
      </c>
      <c r="M438" s="129" t="s">
        <v>201</v>
      </c>
      <c r="N438" s="129" t="s">
        <v>28</v>
      </c>
      <c r="O438" s="129" t="s">
        <v>28</v>
      </c>
      <c r="P438" s="129" t="str">
        <f t="shared" si="13"/>
        <v>N/A</v>
      </c>
      <c r="Q438" s="128" t="s">
        <v>1455</v>
      </c>
      <c r="R438" s="128">
        <v>9.8800000000000008</v>
      </c>
      <c r="S438" s="130"/>
      <c r="T438" s="130" t="s">
        <v>998</v>
      </c>
      <c r="U438" s="147" t="s">
        <v>1479</v>
      </c>
    </row>
    <row r="439" spans="1:21" ht="15.75" hidden="1" thickBot="1">
      <c r="A439" s="123">
        <v>1098</v>
      </c>
      <c r="B439" s="123"/>
      <c r="C439" s="123"/>
      <c r="D439" s="123"/>
      <c r="E439" s="123"/>
      <c r="F439" s="123"/>
      <c r="G439" s="127" t="s">
        <v>110</v>
      </c>
      <c r="H439" s="128">
        <v>2012</v>
      </c>
      <c r="I439" s="128" t="s">
        <v>82</v>
      </c>
      <c r="J439" s="128">
        <f t="shared" si="12"/>
        <v>3</v>
      </c>
      <c r="K439" s="128" t="s">
        <v>140</v>
      </c>
      <c r="L439" s="128" t="s">
        <v>30</v>
      </c>
      <c r="M439" s="129" t="s">
        <v>201</v>
      </c>
      <c r="N439" s="129" t="s">
        <v>32</v>
      </c>
      <c r="O439" s="129" t="s">
        <v>32</v>
      </c>
      <c r="P439" s="129" t="str">
        <f t="shared" si="13"/>
        <v>Y</v>
      </c>
      <c r="Q439" s="132" t="s">
        <v>1455</v>
      </c>
      <c r="R439" s="128">
        <v>57.96</v>
      </c>
      <c r="S439" s="130"/>
      <c r="T439" s="130" t="s">
        <v>998</v>
      </c>
      <c r="U439" s="147"/>
    </row>
    <row r="440" spans="1:21" ht="15.75" hidden="1" thickBot="1">
      <c r="A440" s="123">
        <v>1098</v>
      </c>
      <c r="B440" s="123"/>
      <c r="C440" s="123"/>
      <c r="D440" s="123"/>
      <c r="E440" s="123"/>
      <c r="F440" s="123"/>
      <c r="G440" s="127" t="s">
        <v>110</v>
      </c>
      <c r="H440" s="128">
        <v>2012</v>
      </c>
      <c r="I440" s="128" t="s">
        <v>82</v>
      </c>
      <c r="J440" s="128">
        <f t="shared" si="12"/>
        <v>3</v>
      </c>
      <c r="K440" s="128" t="s">
        <v>1480</v>
      </c>
      <c r="L440" s="128" t="s">
        <v>40</v>
      </c>
      <c r="M440" s="129" t="s">
        <v>201</v>
      </c>
      <c r="N440" s="129" t="s">
        <v>28</v>
      </c>
      <c r="O440" s="129" t="s">
        <v>28</v>
      </c>
      <c r="P440" s="129" t="str">
        <f t="shared" si="13"/>
        <v>N/A</v>
      </c>
      <c r="Q440" s="128" t="s">
        <v>1455</v>
      </c>
      <c r="R440" s="128">
        <v>31.45</v>
      </c>
      <c r="S440" s="130"/>
      <c r="T440" s="130" t="s">
        <v>998</v>
      </c>
      <c r="U440" s="147" t="s">
        <v>1479</v>
      </c>
    </row>
    <row r="441" spans="1:21" ht="15.75" thickBot="1">
      <c r="A441" s="45">
        <v>1099</v>
      </c>
      <c r="B441" s="123"/>
      <c r="C441" s="123"/>
      <c r="D441" s="123"/>
      <c r="E441" s="123"/>
      <c r="F441" s="123"/>
      <c r="G441" s="127" t="s">
        <v>110</v>
      </c>
      <c r="H441" s="128">
        <v>2012</v>
      </c>
      <c r="I441" s="128" t="s">
        <v>141</v>
      </c>
      <c r="J441" s="128">
        <f t="shared" si="12"/>
        <v>2</v>
      </c>
      <c r="K441" s="128" t="s">
        <v>142</v>
      </c>
      <c r="L441" s="128" t="s">
        <v>30</v>
      </c>
      <c r="M441" s="129" t="s">
        <v>201</v>
      </c>
      <c r="N441" s="129" t="s">
        <v>32</v>
      </c>
      <c r="O441" s="129"/>
      <c r="P441" s="129" t="str">
        <f t="shared" si="13"/>
        <v/>
      </c>
      <c r="Q441" s="132" t="s">
        <v>1481</v>
      </c>
      <c r="R441" s="128">
        <v>56.63</v>
      </c>
      <c r="S441" s="130"/>
      <c r="T441" s="130" t="s">
        <v>998</v>
      </c>
      <c r="U441" s="147"/>
    </row>
    <row r="442" spans="1:21" ht="15.75" thickBot="1">
      <c r="A442" s="45">
        <v>1099</v>
      </c>
      <c r="B442" s="123"/>
      <c r="C442" s="123"/>
      <c r="D442" s="123"/>
      <c r="E442" s="123"/>
      <c r="F442" s="123"/>
      <c r="G442" s="127" t="s">
        <v>110</v>
      </c>
      <c r="H442" s="128">
        <v>2012</v>
      </c>
      <c r="I442" s="128" t="s">
        <v>141</v>
      </c>
      <c r="J442" s="128">
        <f t="shared" si="12"/>
        <v>2</v>
      </c>
      <c r="K442" s="128" t="s">
        <v>159</v>
      </c>
      <c r="L442" s="128" t="s">
        <v>40</v>
      </c>
      <c r="M442" s="129" t="s">
        <v>201</v>
      </c>
      <c r="N442" s="129" t="s">
        <v>28</v>
      </c>
      <c r="O442" s="129" t="s">
        <v>32</v>
      </c>
      <c r="P442" s="129" t="str">
        <f t="shared" si="13"/>
        <v>N</v>
      </c>
      <c r="Q442" s="132" t="s">
        <v>1482</v>
      </c>
      <c r="R442" s="128">
        <v>42.28</v>
      </c>
      <c r="S442" s="130"/>
      <c r="T442" s="130" t="s">
        <v>998</v>
      </c>
      <c r="U442" s="147"/>
    </row>
    <row r="443" spans="1:21" ht="15.75" thickBot="1">
      <c r="A443" s="45">
        <v>1082</v>
      </c>
      <c r="B443" s="123"/>
      <c r="C443" s="123"/>
      <c r="D443" s="123"/>
      <c r="E443" s="123"/>
      <c r="F443" s="123"/>
      <c r="G443" s="127" t="s">
        <v>110</v>
      </c>
      <c r="H443" s="128">
        <v>2014</v>
      </c>
      <c r="I443" s="128" t="s">
        <v>70</v>
      </c>
      <c r="J443" s="128">
        <f t="shared" si="12"/>
        <v>2</v>
      </c>
      <c r="K443" s="128" t="s">
        <v>111</v>
      </c>
      <c r="L443" s="128" t="s">
        <v>40</v>
      </c>
      <c r="M443" s="129" t="s">
        <v>31</v>
      </c>
      <c r="N443" s="129" t="s">
        <v>32</v>
      </c>
      <c r="O443" s="129"/>
      <c r="P443" s="129" t="str">
        <f t="shared" si="13"/>
        <v/>
      </c>
      <c r="Q443" s="132" t="s">
        <v>1483</v>
      </c>
      <c r="R443" s="128">
        <v>76.34</v>
      </c>
      <c r="S443" s="130"/>
      <c r="T443" s="130" t="s">
        <v>31</v>
      </c>
      <c r="U443" s="147"/>
    </row>
    <row r="444" spans="1:21" ht="15.75" thickBot="1">
      <c r="A444" s="45">
        <v>1082</v>
      </c>
      <c r="B444" s="123"/>
      <c r="C444" s="123"/>
      <c r="D444" s="123"/>
      <c r="E444" s="123"/>
      <c r="F444" s="123"/>
      <c r="G444" s="127" t="s">
        <v>110</v>
      </c>
      <c r="H444" s="128">
        <v>2014</v>
      </c>
      <c r="I444" s="128" t="s">
        <v>70</v>
      </c>
      <c r="J444" s="128">
        <f t="shared" si="12"/>
        <v>2</v>
      </c>
      <c r="K444" s="128" t="s">
        <v>1461</v>
      </c>
      <c r="L444" s="128" t="s">
        <v>30</v>
      </c>
      <c r="M444" s="129" t="s">
        <v>31</v>
      </c>
      <c r="N444" s="129" t="s">
        <v>28</v>
      </c>
      <c r="O444" s="129"/>
      <c r="P444" s="129" t="str">
        <f t="shared" si="13"/>
        <v/>
      </c>
      <c r="Q444" s="128" t="s">
        <v>1484</v>
      </c>
      <c r="R444" s="128">
        <v>22.87</v>
      </c>
      <c r="S444" s="130"/>
      <c r="T444" s="130" t="s">
        <v>31</v>
      </c>
      <c r="U444" s="147"/>
    </row>
    <row r="445" spans="1:21" ht="15.75" hidden="1" thickBot="1">
      <c r="A445" s="45">
        <v>1083</v>
      </c>
      <c r="B445" s="123"/>
      <c r="C445" s="123"/>
      <c r="D445" s="123"/>
      <c r="E445" s="123"/>
      <c r="F445" s="123"/>
      <c r="G445" s="127" t="s">
        <v>110</v>
      </c>
      <c r="H445" s="128">
        <v>2014</v>
      </c>
      <c r="I445" s="128" t="s">
        <v>38</v>
      </c>
      <c r="J445" s="128">
        <f t="shared" si="12"/>
        <v>16</v>
      </c>
      <c r="K445" s="128" t="s">
        <v>1485</v>
      </c>
      <c r="L445" s="128" t="s">
        <v>30</v>
      </c>
      <c r="M445" s="129" t="s">
        <v>201</v>
      </c>
      <c r="N445" s="129" t="s">
        <v>28</v>
      </c>
      <c r="O445" s="129" t="s">
        <v>28</v>
      </c>
      <c r="P445" s="129" t="str">
        <f t="shared" si="13"/>
        <v>N/A</v>
      </c>
      <c r="Q445" s="128" t="s">
        <v>1486</v>
      </c>
      <c r="R445" s="128">
        <v>7.77</v>
      </c>
      <c r="S445" s="130"/>
      <c r="T445" s="130" t="s">
        <v>1407</v>
      </c>
      <c r="U445" s="147" t="s">
        <v>1487</v>
      </c>
    </row>
    <row r="446" spans="1:21" ht="15.75" hidden="1" thickBot="1">
      <c r="A446" s="45">
        <v>1083</v>
      </c>
      <c r="B446" s="123"/>
      <c r="C446" s="123"/>
      <c r="D446" s="123"/>
      <c r="E446" s="123"/>
      <c r="F446" s="123"/>
      <c r="G446" s="127" t="s">
        <v>110</v>
      </c>
      <c r="H446" s="128">
        <v>2014</v>
      </c>
      <c r="I446" s="128" t="s">
        <v>38</v>
      </c>
      <c r="J446" s="128">
        <f t="shared" si="12"/>
        <v>16</v>
      </c>
      <c r="K446" s="128" t="s">
        <v>1488</v>
      </c>
      <c r="L446" s="128" t="s">
        <v>30</v>
      </c>
      <c r="M446" s="129" t="s">
        <v>201</v>
      </c>
      <c r="N446" s="129" t="s">
        <v>28</v>
      </c>
      <c r="O446" s="129" t="s">
        <v>28</v>
      </c>
      <c r="P446" s="129" t="str">
        <f t="shared" si="13"/>
        <v>N/A</v>
      </c>
      <c r="Q446" s="128" t="s">
        <v>1489</v>
      </c>
      <c r="R446" s="128">
        <v>1.02</v>
      </c>
      <c r="S446" s="130"/>
      <c r="T446" s="130" t="s">
        <v>998</v>
      </c>
      <c r="U446" s="147" t="s">
        <v>1490</v>
      </c>
    </row>
    <row r="447" spans="1:21" ht="15.75" hidden="1" thickBot="1">
      <c r="A447" s="45">
        <v>1083</v>
      </c>
      <c r="B447" s="123"/>
      <c r="C447" s="123"/>
      <c r="D447" s="123"/>
      <c r="E447" s="123"/>
      <c r="F447" s="123"/>
      <c r="G447" s="127" t="s">
        <v>110</v>
      </c>
      <c r="H447" s="128">
        <v>2014</v>
      </c>
      <c r="I447" s="128" t="s">
        <v>38</v>
      </c>
      <c r="J447" s="128">
        <f t="shared" si="12"/>
        <v>16</v>
      </c>
      <c r="K447" s="128" t="s">
        <v>143</v>
      </c>
      <c r="L447" s="128" t="s">
        <v>40</v>
      </c>
      <c r="M447" s="129" t="s">
        <v>31</v>
      </c>
      <c r="N447" s="129" t="s">
        <v>28</v>
      </c>
      <c r="O447" s="129" t="s">
        <v>28</v>
      </c>
      <c r="P447" s="129" t="str">
        <f t="shared" si="13"/>
        <v>N/A</v>
      </c>
      <c r="Q447" s="132" t="s">
        <v>1491</v>
      </c>
      <c r="R447" s="128">
        <v>3.04</v>
      </c>
      <c r="S447" s="130"/>
      <c r="T447" s="130" t="s">
        <v>31</v>
      </c>
      <c r="U447" s="147"/>
    </row>
    <row r="448" spans="1:21" ht="15.75" hidden="1" thickBot="1">
      <c r="A448" s="45">
        <v>1083</v>
      </c>
      <c r="B448" s="123"/>
      <c r="C448" s="123"/>
      <c r="D448" s="123"/>
      <c r="E448" s="123"/>
      <c r="F448" s="123"/>
      <c r="G448" s="127" t="s">
        <v>110</v>
      </c>
      <c r="H448" s="128">
        <v>2014</v>
      </c>
      <c r="I448" s="128" t="s">
        <v>38</v>
      </c>
      <c r="J448" s="128">
        <f t="shared" si="12"/>
        <v>16</v>
      </c>
      <c r="K448" s="128" t="s">
        <v>175</v>
      </c>
      <c r="L448" s="128" t="s">
        <v>30</v>
      </c>
      <c r="M448" s="129" t="s">
        <v>31</v>
      </c>
      <c r="N448" s="129" t="s">
        <v>28</v>
      </c>
      <c r="O448" s="129" t="s">
        <v>28</v>
      </c>
      <c r="P448" s="129" t="str">
        <f t="shared" si="13"/>
        <v>N/A</v>
      </c>
      <c r="Q448" s="128" t="s">
        <v>1492</v>
      </c>
      <c r="R448" s="128">
        <v>12.8</v>
      </c>
      <c r="S448" s="130"/>
      <c r="T448" s="130" t="s">
        <v>31</v>
      </c>
      <c r="U448" s="147" t="s">
        <v>1493</v>
      </c>
    </row>
    <row r="449" spans="1:21" ht="15.75" hidden="1" thickBot="1">
      <c r="A449" s="45">
        <v>1083</v>
      </c>
      <c r="B449" s="123"/>
      <c r="C449" s="123"/>
      <c r="D449" s="123"/>
      <c r="E449" s="123"/>
      <c r="F449" s="123"/>
      <c r="G449" s="127" t="s">
        <v>110</v>
      </c>
      <c r="H449" s="128">
        <v>2014</v>
      </c>
      <c r="I449" s="128" t="s">
        <v>38</v>
      </c>
      <c r="J449" s="128">
        <f t="shared" si="12"/>
        <v>16</v>
      </c>
      <c r="K449" s="128" t="s">
        <v>1494</v>
      </c>
      <c r="L449" s="128" t="s">
        <v>30</v>
      </c>
      <c r="M449" s="129" t="s">
        <v>201</v>
      </c>
      <c r="N449" s="129" t="s">
        <v>28</v>
      </c>
      <c r="O449" s="129" t="s">
        <v>28</v>
      </c>
      <c r="P449" s="129" t="str">
        <f t="shared" si="13"/>
        <v>N/A</v>
      </c>
      <c r="Q449" s="128" t="s">
        <v>1495</v>
      </c>
      <c r="R449" s="128">
        <v>0.38</v>
      </c>
      <c r="S449" s="130"/>
      <c r="T449" s="130" t="s">
        <v>1434</v>
      </c>
      <c r="U449" s="147"/>
    </row>
    <row r="450" spans="1:21" ht="15.75" hidden="1" thickBot="1">
      <c r="A450" s="45">
        <v>1083</v>
      </c>
      <c r="B450" s="123"/>
      <c r="C450" s="123"/>
      <c r="D450" s="123"/>
      <c r="E450" s="123"/>
      <c r="F450" s="123"/>
      <c r="G450" s="127" t="s">
        <v>110</v>
      </c>
      <c r="H450" s="128">
        <v>2014</v>
      </c>
      <c r="I450" s="128" t="s">
        <v>38</v>
      </c>
      <c r="J450" s="128">
        <f t="shared" ref="J450:J513" si="14">COUNTIF(A$2:A$2215, A450)</f>
        <v>16</v>
      </c>
      <c r="K450" s="128" t="s">
        <v>1496</v>
      </c>
      <c r="L450" s="128" t="s">
        <v>30</v>
      </c>
      <c r="M450" s="129" t="s">
        <v>201</v>
      </c>
      <c r="N450" s="129" t="s">
        <v>28</v>
      </c>
      <c r="O450" s="129" t="s">
        <v>28</v>
      </c>
      <c r="P450" s="129" t="str">
        <f t="shared" si="13"/>
        <v>N/A</v>
      </c>
      <c r="Q450" s="128" t="s">
        <v>1497</v>
      </c>
      <c r="R450" s="128">
        <v>1.51</v>
      </c>
      <c r="S450" s="130"/>
      <c r="T450" s="130" t="s">
        <v>1407</v>
      </c>
      <c r="U450" s="147" t="s">
        <v>1498</v>
      </c>
    </row>
    <row r="451" spans="1:21" ht="15.75" hidden="1" thickBot="1">
      <c r="A451" s="45">
        <v>1083</v>
      </c>
      <c r="B451" s="123"/>
      <c r="C451" s="123"/>
      <c r="D451" s="123"/>
      <c r="E451" s="123"/>
      <c r="F451" s="123"/>
      <c r="G451" s="127" t="s">
        <v>110</v>
      </c>
      <c r="H451" s="128">
        <v>2014</v>
      </c>
      <c r="I451" s="128" t="s">
        <v>38</v>
      </c>
      <c r="J451" s="128">
        <f t="shared" si="14"/>
        <v>16</v>
      </c>
      <c r="K451" s="128" t="s">
        <v>145</v>
      </c>
      <c r="L451" s="128" t="s">
        <v>40</v>
      </c>
      <c r="M451" s="129" t="s">
        <v>34</v>
      </c>
      <c r="N451" s="129" t="s">
        <v>28</v>
      </c>
      <c r="O451" s="129" t="s">
        <v>28</v>
      </c>
      <c r="P451" s="129" t="str">
        <f t="shared" ref="P451:P514" si="15">IF(O451="N", "N/A", IF(AND(N451="N",  O451="Y"), "N", IF(AND(O451="Y", N451="Y"), "Y", "")))</f>
        <v>N/A</v>
      </c>
      <c r="Q451" s="128" t="s">
        <v>1499</v>
      </c>
      <c r="R451" s="128">
        <v>15.43</v>
      </c>
      <c r="S451" s="130"/>
      <c r="T451" s="130" t="s">
        <v>1407</v>
      </c>
      <c r="U451" s="147"/>
    </row>
    <row r="452" spans="1:21" ht="15.75" hidden="1" thickBot="1">
      <c r="A452" s="45">
        <v>1083</v>
      </c>
      <c r="B452" s="123"/>
      <c r="C452" s="123"/>
      <c r="D452" s="123"/>
      <c r="E452" s="123"/>
      <c r="F452" s="123"/>
      <c r="G452" s="127" t="s">
        <v>110</v>
      </c>
      <c r="H452" s="128">
        <v>2014</v>
      </c>
      <c r="I452" s="128" t="s">
        <v>38</v>
      </c>
      <c r="J452" s="128">
        <f t="shared" si="14"/>
        <v>16</v>
      </c>
      <c r="K452" s="128" t="s">
        <v>1423</v>
      </c>
      <c r="L452" s="128" t="s">
        <v>30</v>
      </c>
      <c r="M452" s="129" t="s">
        <v>31</v>
      </c>
      <c r="N452" s="129" t="s">
        <v>28</v>
      </c>
      <c r="O452" s="129" t="s">
        <v>28</v>
      </c>
      <c r="P452" s="129" t="str">
        <f t="shared" si="15"/>
        <v>N/A</v>
      </c>
      <c r="Q452" s="128" t="s">
        <v>1500</v>
      </c>
      <c r="R452" s="128">
        <v>11.99</v>
      </c>
      <c r="S452" s="130"/>
      <c r="T452" s="130" t="s">
        <v>31</v>
      </c>
      <c r="U452" s="147"/>
    </row>
    <row r="453" spans="1:21" ht="15.75" hidden="1" thickBot="1">
      <c r="A453" s="45">
        <v>1083</v>
      </c>
      <c r="B453" s="123"/>
      <c r="C453" s="123"/>
      <c r="D453" s="123"/>
      <c r="E453" s="123"/>
      <c r="F453" s="123"/>
      <c r="G453" s="127" t="s">
        <v>110</v>
      </c>
      <c r="H453" s="128">
        <v>2014</v>
      </c>
      <c r="I453" s="128" t="s">
        <v>38</v>
      </c>
      <c r="J453" s="128">
        <f t="shared" si="14"/>
        <v>16</v>
      </c>
      <c r="K453" s="128" t="s">
        <v>1501</v>
      </c>
      <c r="L453" s="128" t="s">
        <v>30</v>
      </c>
      <c r="M453" s="129" t="s">
        <v>1003</v>
      </c>
      <c r="N453" s="129" t="s">
        <v>28</v>
      </c>
      <c r="O453" s="129" t="s">
        <v>28</v>
      </c>
      <c r="P453" s="129" t="str">
        <f t="shared" si="15"/>
        <v>N/A</v>
      </c>
      <c r="Q453" s="128" t="s">
        <v>1502</v>
      </c>
      <c r="R453" s="128">
        <v>0.5</v>
      </c>
      <c r="S453" s="130"/>
      <c r="T453" s="130" t="s">
        <v>1407</v>
      </c>
      <c r="U453" s="147" t="s">
        <v>1503</v>
      </c>
    </row>
    <row r="454" spans="1:21" ht="15.75" hidden="1" thickBot="1">
      <c r="A454" s="45">
        <v>1083</v>
      </c>
      <c r="B454" s="123"/>
      <c r="C454" s="123"/>
      <c r="D454" s="123"/>
      <c r="E454" s="123"/>
      <c r="F454" s="123"/>
      <c r="G454" s="127" t="s">
        <v>110</v>
      </c>
      <c r="H454" s="128">
        <v>2014</v>
      </c>
      <c r="I454" s="128" t="s">
        <v>38</v>
      </c>
      <c r="J454" s="128">
        <f t="shared" si="14"/>
        <v>16</v>
      </c>
      <c r="K454" s="128" t="s">
        <v>113</v>
      </c>
      <c r="L454" s="128" t="s">
        <v>40</v>
      </c>
      <c r="M454" s="129" t="s">
        <v>31</v>
      </c>
      <c r="N454" s="129" t="s">
        <v>32</v>
      </c>
      <c r="O454" s="129" t="s">
        <v>28</v>
      </c>
      <c r="P454" s="129" t="str">
        <f t="shared" si="15"/>
        <v>N/A</v>
      </c>
      <c r="Q454" s="132" t="s">
        <v>1504</v>
      </c>
      <c r="R454" s="128">
        <v>29.43</v>
      </c>
      <c r="S454" s="128">
        <v>63.2</v>
      </c>
      <c r="T454" s="130" t="s">
        <v>31</v>
      </c>
      <c r="U454" s="147"/>
    </row>
    <row r="455" spans="1:21" ht="15.75" hidden="1" thickBot="1">
      <c r="A455" s="45">
        <v>1083</v>
      </c>
      <c r="B455" s="123"/>
      <c r="C455" s="123"/>
      <c r="D455" s="123"/>
      <c r="E455" s="123"/>
      <c r="F455" s="123"/>
      <c r="G455" s="127" t="s">
        <v>110</v>
      </c>
      <c r="H455" s="128">
        <v>2014</v>
      </c>
      <c r="I455" s="128" t="s">
        <v>38</v>
      </c>
      <c r="J455" s="128">
        <f t="shared" si="14"/>
        <v>16</v>
      </c>
      <c r="K455" s="128" t="s">
        <v>1363</v>
      </c>
      <c r="L455" s="128" t="s">
        <v>40</v>
      </c>
      <c r="M455" s="129" t="s">
        <v>31</v>
      </c>
      <c r="N455" s="129" t="s">
        <v>28</v>
      </c>
      <c r="O455" s="129" t="s">
        <v>28</v>
      </c>
      <c r="P455" s="129" t="str">
        <f t="shared" si="15"/>
        <v>N/A</v>
      </c>
      <c r="Q455" s="128" t="s">
        <v>1505</v>
      </c>
      <c r="R455" s="128">
        <v>0.26</v>
      </c>
      <c r="S455" s="130"/>
      <c r="T455" s="130" t="s">
        <v>31</v>
      </c>
      <c r="U455" s="147"/>
    </row>
    <row r="456" spans="1:21" ht="15.75" hidden="1" thickBot="1">
      <c r="A456" s="45">
        <v>1083</v>
      </c>
      <c r="B456" s="123"/>
      <c r="C456" s="123"/>
      <c r="D456" s="123"/>
      <c r="E456" s="123"/>
      <c r="F456" s="123"/>
      <c r="G456" s="127" t="s">
        <v>110</v>
      </c>
      <c r="H456" s="128">
        <v>2014</v>
      </c>
      <c r="I456" s="128" t="s">
        <v>38</v>
      </c>
      <c r="J456" s="128">
        <f t="shared" si="14"/>
        <v>16</v>
      </c>
      <c r="K456" s="128" t="s">
        <v>1506</v>
      </c>
      <c r="L456" s="128" t="s">
        <v>30</v>
      </c>
      <c r="M456" s="129" t="s">
        <v>201</v>
      </c>
      <c r="N456" s="129" t="s">
        <v>28</v>
      </c>
      <c r="O456" s="129" t="s">
        <v>28</v>
      </c>
      <c r="P456" s="129" t="str">
        <f t="shared" si="15"/>
        <v>N/A</v>
      </c>
      <c r="Q456" s="128" t="s">
        <v>1507</v>
      </c>
      <c r="R456" s="128">
        <v>0.35</v>
      </c>
      <c r="S456" s="130"/>
      <c r="T456" s="130" t="s">
        <v>1407</v>
      </c>
      <c r="U456" s="147"/>
    </row>
    <row r="457" spans="1:21" ht="15.75" hidden="1" thickBot="1">
      <c r="A457" s="45">
        <v>1083</v>
      </c>
      <c r="B457" s="123"/>
      <c r="C457" s="123"/>
      <c r="D457" s="123"/>
      <c r="E457" s="123"/>
      <c r="F457" s="123"/>
      <c r="G457" s="127" t="s">
        <v>110</v>
      </c>
      <c r="H457" s="128">
        <v>2014</v>
      </c>
      <c r="I457" s="128" t="s">
        <v>38</v>
      </c>
      <c r="J457" s="128">
        <f t="shared" si="14"/>
        <v>16</v>
      </c>
      <c r="K457" s="128" t="s">
        <v>1508</v>
      </c>
      <c r="L457" s="128" t="s">
        <v>30</v>
      </c>
      <c r="M457" s="129" t="s">
        <v>34</v>
      </c>
      <c r="N457" s="129" t="s">
        <v>28</v>
      </c>
      <c r="O457" s="129" t="s">
        <v>28</v>
      </c>
      <c r="P457" s="129" t="str">
        <f t="shared" si="15"/>
        <v>N/A</v>
      </c>
      <c r="Q457" s="128" t="s">
        <v>1509</v>
      </c>
      <c r="R457" s="128">
        <v>0.44</v>
      </c>
      <c r="S457" s="130"/>
      <c r="T457" s="130" t="s">
        <v>1407</v>
      </c>
      <c r="U457" s="147" t="s">
        <v>1510</v>
      </c>
    </row>
    <row r="458" spans="1:21" ht="15.75" hidden="1" thickBot="1">
      <c r="A458" s="45">
        <v>1083</v>
      </c>
      <c r="B458" s="123"/>
      <c r="C458" s="123"/>
      <c r="D458" s="123"/>
      <c r="E458" s="123"/>
      <c r="F458" s="123"/>
      <c r="G458" s="127" t="s">
        <v>110</v>
      </c>
      <c r="H458" s="128">
        <v>2014</v>
      </c>
      <c r="I458" s="128" t="s">
        <v>38</v>
      </c>
      <c r="J458" s="128">
        <f t="shared" si="14"/>
        <v>16</v>
      </c>
      <c r="K458" s="128" t="s">
        <v>127</v>
      </c>
      <c r="L458" s="128" t="s">
        <v>40</v>
      </c>
      <c r="M458" s="129" t="s">
        <v>31</v>
      </c>
      <c r="N458" s="129" t="s">
        <v>28</v>
      </c>
      <c r="O458" s="129" t="s">
        <v>28</v>
      </c>
      <c r="P458" s="129" t="str">
        <f t="shared" si="15"/>
        <v>N/A</v>
      </c>
      <c r="Q458" s="132" t="s">
        <v>1511</v>
      </c>
      <c r="R458" s="128">
        <v>14.34</v>
      </c>
      <c r="S458" s="128">
        <v>36.799999999999997</v>
      </c>
      <c r="T458" s="130" t="s">
        <v>31</v>
      </c>
      <c r="U458" s="147"/>
    </row>
    <row r="459" spans="1:21" ht="15.75" hidden="1" thickBot="1">
      <c r="A459" s="45">
        <v>1083</v>
      </c>
      <c r="B459" s="123"/>
      <c r="C459" s="123"/>
      <c r="D459" s="123"/>
      <c r="E459" s="123"/>
      <c r="F459" s="123"/>
      <c r="G459" s="127" t="s">
        <v>110</v>
      </c>
      <c r="H459" s="128">
        <v>2014</v>
      </c>
      <c r="I459" s="128" t="s">
        <v>38</v>
      </c>
      <c r="J459" s="128">
        <f t="shared" si="14"/>
        <v>16</v>
      </c>
      <c r="K459" s="128" t="s">
        <v>1512</v>
      </c>
      <c r="L459" s="128" t="s">
        <v>30</v>
      </c>
      <c r="M459" s="129" t="s">
        <v>1013</v>
      </c>
      <c r="N459" s="129" t="s">
        <v>28</v>
      </c>
      <c r="O459" s="129" t="s">
        <v>28</v>
      </c>
      <c r="P459" s="129" t="str">
        <f t="shared" si="15"/>
        <v>N/A</v>
      </c>
      <c r="Q459" s="128" t="s">
        <v>1513</v>
      </c>
      <c r="R459" s="128">
        <v>0.26</v>
      </c>
      <c r="S459" s="130"/>
      <c r="T459" s="130" t="s">
        <v>1407</v>
      </c>
      <c r="U459" s="131" t="s">
        <v>1514</v>
      </c>
    </row>
    <row r="460" spans="1:21" ht="15.75" hidden="1" thickBot="1">
      <c r="A460" s="45">
        <v>1083</v>
      </c>
      <c r="B460" s="123"/>
      <c r="C460" s="123"/>
      <c r="D460" s="123"/>
      <c r="E460" s="123"/>
      <c r="F460" s="123"/>
      <c r="G460" s="127" t="s">
        <v>110</v>
      </c>
      <c r="H460" s="128">
        <v>2014</v>
      </c>
      <c r="I460" s="128" t="s">
        <v>38</v>
      </c>
      <c r="J460" s="128">
        <f t="shared" si="14"/>
        <v>16</v>
      </c>
      <c r="K460" s="128" t="s">
        <v>1515</v>
      </c>
      <c r="L460" s="128" t="s">
        <v>30</v>
      </c>
      <c r="M460" s="129" t="s">
        <v>201</v>
      </c>
      <c r="N460" s="129" t="s">
        <v>28</v>
      </c>
      <c r="O460" s="129" t="s">
        <v>28</v>
      </c>
      <c r="P460" s="129" t="str">
        <f t="shared" si="15"/>
        <v>N/A</v>
      </c>
      <c r="Q460" s="128" t="s">
        <v>1516</v>
      </c>
      <c r="R460" s="128">
        <v>0.03</v>
      </c>
      <c r="S460" s="130"/>
      <c r="T460" s="130" t="s">
        <v>1407</v>
      </c>
      <c r="U460" s="147" t="s">
        <v>1517</v>
      </c>
    </row>
    <row r="461" spans="1:21" ht="128.25" hidden="1" thickBot="1">
      <c r="A461" s="45">
        <v>1084</v>
      </c>
      <c r="B461" s="123"/>
      <c r="C461" s="123"/>
      <c r="D461" s="123"/>
      <c r="E461" s="123"/>
      <c r="F461" s="123"/>
      <c r="G461" s="127" t="s">
        <v>110</v>
      </c>
      <c r="H461" s="128">
        <v>2014</v>
      </c>
      <c r="I461" s="128" t="s">
        <v>91</v>
      </c>
      <c r="J461" s="128">
        <f t="shared" si="14"/>
        <v>5</v>
      </c>
      <c r="K461" s="128" t="s">
        <v>115</v>
      </c>
      <c r="L461" s="128" t="s">
        <v>30</v>
      </c>
      <c r="M461" s="129" t="s">
        <v>1065</v>
      </c>
      <c r="N461" s="129" t="s">
        <v>32</v>
      </c>
      <c r="O461" s="129" t="s">
        <v>28</v>
      </c>
      <c r="P461" s="129" t="str">
        <f t="shared" si="15"/>
        <v>N/A</v>
      </c>
      <c r="Q461" s="148" t="s">
        <v>1518</v>
      </c>
      <c r="R461" s="128">
        <v>35.93</v>
      </c>
      <c r="S461" s="128">
        <v>53.03</v>
      </c>
      <c r="T461" s="130" t="s">
        <v>1434</v>
      </c>
      <c r="U461" s="129" t="s">
        <v>1519</v>
      </c>
    </row>
    <row r="462" spans="1:21" ht="15.75" hidden="1" thickBot="1">
      <c r="A462" s="45">
        <v>1084</v>
      </c>
      <c r="B462" s="123"/>
      <c r="C462" s="123"/>
      <c r="D462" s="123"/>
      <c r="E462" s="123"/>
      <c r="F462" s="123"/>
      <c r="G462" s="127" t="s">
        <v>110</v>
      </c>
      <c r="H462" s="128">
        <v>2014</v>
      </c>
      <c r="I462" s="128" t="s">
        <v>91</v>
      </c>
      <c r="J462" s="128">
        <f t="shared" si="14"/>
        <v>5</v>
      </c>
      <c r="K462" s="128" t="s">
        <v>1520</v>
      </c>
      <c r="L462" s="128" t="s">
        <v>30</v>
      </c>
      <c r="M462" s="129" t="s">
        <v>34</v>
      </c>
      <c r="N462" s="129" t="s">
        <v>28</v>
      </c>
      <c r="O462" s="129" t="s">
        <v>28</v>
      </c>
      <c r="P462" s="129" t="str">
        <f t="shared" si="15"/>
        <v>N/A</v>
      </c>
      <c r="Q462" s="128" t="s">
        <v>1518</v>
      </c>
      <c r="R462" s="128">
        <v>19.12</v>
      </c>
      <c r="S462" s="130"/>
      <c r="T462" s="130" t="s">
        <v>1434</v>
      </c>
      <c r="U462" s="147"/>
    </row>
    <row r="463" spans="1:21" ht="15.75" hidden="1" thickBot="1">
      <c r="A463" s="45">
        <v>1084</v>
      </c>
      <c r="B463" s="123"/>
      <c r="C463" s="123"/>
      <c r="D463" s="123"/>
      <c r="E463" s="123"/>
      <c r="F463" s="123"/>
      <c r="G463" s="127" t="s">
        <v>110</v>
      </c>
      <c r="H463" s="128">
        <v>2014</v>
      </c>
      <c r="I463" s="128" t="s">
        <v>91</v>
      </c>
      <c r="J463" s="128">
        <f t="shared" si="14"/>
        <v>5</v>
      </c>
      <c r="K463" s="128" t="s">
        <v>1521</v>
      </c>
      <c r="L463" s="128" t="s">
        <v>40</v>
      </c>
      <c r="M463" s="129" t="s">
        <v>1003</v>
      </c>
      <c r="N463" s="129" t="s">
        <v>28</v>
      </c>
      <c r="O463" s="129" t="s">
        <v>28</v>
      </c>
      <c r="P463" s="129" t="str">
        <f t="shared" si="15"/>
        <v>N/A</v>
      </c>
      <c r="Q463" s="128" t="s">
        <v>1522</v>
      </c>
      <c r="R463" s="128">
        <v>32.83</v>
      </c>
      <c r="S463" s="128">
        <v>46.97</v>
      </c>
      <c r="T463" s="130" t="s">
        <v>31</v>
      </c>
      <c r="U463" s="147"/>
    </row>
    <row r="464" spans="1:21" ht="30.75" hidden="1" thickBot="1">
      <c r="A464" s="45">
        <v>1084</v>
      </c>
      <c r="B464" s="123"/>
      <c r="C464" s="123"/>
      <c r="D464" s="123"/>
      <c r="E464" s="123"/>
      <c r="F464" s="123"/>
      <c r="G464" s="127" t="s">
        <v>110</v>
      </c>
      <c r="H464" s="128">
        <v>2014</v>
      </c>
      <c r="I464" s="128" t="s">
        <v>91</v>
      </c>
      <c r="J464" s="128">
        <f t="shared" si="14"/>
        <v>5</v>
      </c>
      <c r="K464" s="128" t="s">
        <v>1523</v>
      </c>
      <c r="L464" s="128" t="s">
        <v>30</v>
      </c>
      <c r="M464" s="149" t="s">
        <v>1524</v>
      </c>
      <c r="N464" s="129" t="s">
        <v>28</v>
      </c>
      <c r="O464" s="149" t="s">
        <v>28</v>
      </c>
      <c r="P464" s="129" t="str">
        <f t="shared" si="15"/>
        <v>N/A</v>
      </c>
      <c r="Q464" s="128" t="s">
        <v>1525</v>
      </c>
      <c r="R464" s="128">
        <v>2.29</v>
      </c>
      <c r="S464" s="130"/>
      <c r="T464" s="130" t="s">
        <v>1434</v>
      </c>
      <c r="U464" s="147" t="s">
        <v>1526</v>
      </c>
    </row>
    <row r="465" spans="1:21" ht="15.75" hidden="1" thickBot="1">
      <c r="A465" s="45">
        <v>1084</v>
      </c>
      <c r="B465" s="123"/>
      <c r="C465" s="123"/>
      <c r="D465" s="123"/>
      <c r="E465" s="123"/>
      <c r="F465" s="123"/>
      <c r="G465" s="127" t="s">
        <v>110</v>
      </c>
      <c r="H465" s="128">
        <v>2014</v>
      </c>
      <c r="I465" s="128" t="s">
        <v>91</v>
      </c>
      <c r="J465" s="128">
        <f t="shared" si="14"/>
        <v>5</v>
      </c>
      <c r="K465" s="128" t="s">
        <v>1527</v>
      </c>
      <c r="L465" s="128" t="s">
        <v>30</v>
      </c>
      <c r="M465" s="129" t="s">
        <v>31</v>
      </c>
      <c r="N465" s="129" t="s">
        <v>28</v>
      </c>
      <c r="O465" s="129" t="s">
        <v>28</v>
      </c>
      <c r="P465" s="129" t="str">
        <f t="shared" si="15"/>
        <v>N/A</v>
      </c>
      <c r="Q465" s="128" t="s">
        <v>1518</v>
      </c>
      <c r="R465" s="128">
        <v>9.5500000000000007</v>
      </c>
      <c r="S465" s="130"/>
      <c r="T465" s="130" t="s">
        <v>31</v>
      </c>
      <c r="U465" s="147"/>
    </row>
    <row r="466" spans="1:21" ht="15.75" thickBot="1">
      <c r="A466" s="45">
        <v>1085</v>
      </c>
      <c r="B466" s="123"/>
      <c r="C466" s="123"/>
      <c r="D466" s="123"/>
      <c r="E466" s="123"/>
      <c r="F466" s="123"/>
      <c r="G466" s="127" t="s">
        <v>110</v>
      </c>
      <c r="H466" s="128">
        <v>2014</v>
      </c>
      <c r="I466" s="128" t="s">
        <v>116</v>
      </c>
      <c r="J466" s="128">
        <f t="shared" si="14"/>
        <v>2</v>
      </c>
      <c r="K466" s="128" t="s">
        <v>1528</v>
      </c>
      <c r="L466" s="128" t="s">
        <v>30</v>
      </c>
      <c r="M466" s="129" t="s">
        <v>31</v>
      </c>
      <c r="N466" s="129" t="s">
        <v>28</v>
      </c>
      <c r="O466" s="129"/>
      <c r="P466" s="129" t="str">
        <f t="shared" si="15"/>
        <v/>
      </c>
      <c r="Q466" s="128" t="s">
        <v>1529</v>
      </c>
      <c r="R466" s="128">
        <v>23.65</v>
      </c>
      <c r="S466" s="130"/>
      <c r="T466" s="130" t="s">
        <v>31</v>
      </c>
      <c r="U466" s="147"/>
    </row>
    <row r="467" spans="1:21" ht="15.75" hidden="1" thickBot="1">
      <c r="A467" s="45">
        <v>1085</v>
      </c>
      <c r="B467" s="123"/>
      <c r="C467" s="123"/>
      <c r="D467" s="123"/>
      <c r="E467" s="123"/>
      <c r="F467" s="123"/>
      <c r="G467" s="127" t="s">
        <v>110</v>
      </c>
      <c r="H467" s="128">
        <v>2014</v>
      </c>
      <c r="I467" s="128" t="s">
        <v>116</v>
      </c>
      <c r="J467" s="128">
        <f t="shared" si="14"/>
        <v>2</v>
      </c>
      <c r="K467" s="128" t="s">
        <v>117</v>
      </c>
      <c r="L467" s="128" t="s">
        <v>40</v>
      </c>
      <c r="M467" s="129" t="s">
        <v>34</v>
      </c>
      <c r="N467" s="129" t="s">
        <v>32</v>
      </c>
      <c r="O467" s="129" t="s">
        <v>28</v>
      </c>
      <c r="P467" s="129" t="str">
        <f t="shared" si="15"/>
        <v>N/A</v>
      </c>
      <c r="Q467" s="132" t="s">
        <v>1530</v>
      </c>
      <c r="R467" s="128">
        <v>75.44</v>
      </c>
      <c r="S467" s="130"/>
      <c r="T467" s="130" t="s">
        <v>1434</v>
      </c>
      <c r="U467" s="147"/>
    </row>
    <row r="468" spans="1:21" ht="15.75" hidden="1" thickBot="1">
      <c r="A468" s="45">
        <v>1086</v>
      </c>
      <c r="B468" s="123"/>
      <c r="C468" s="123"/>
      <c r="D468" s="123"/>
      <c r="E468" s="123"/>
      <c r="F468" s="123"/>
      <c r="G468" s="127" t="s">
        <v>110</v>
      </c>
      <c r="H468" s="128">
        <v>2014</v>
      </c>
      <c r="I468" s="128" t="s">
        <v>79</v>
      </c>
      <c r="J468" s="128">
        <f t="shared" si="14"/>
        <v>3</v>
      </c>
      <c r="K468" s="128" t="s">
        <v>118</v>
      </c>
      <c r="L468" s="128" t="s">
        <v>40</v>
      </c>
      <c r="M468" s="129" t="s">
        <v>31</v>
      </c>
      <c r="N468" s="129" t="s">
        <v>32</v>
      </c>
      <c r="O468" s="129" t="s">
        <v>28</v>
      </c>
      <c r="P468" s="129" t="str">
        <f t="shared" si="15"/>
        <v>N/A</v>
      </c>
      <c r="Q468" s="132" t="s">
        <v>1531</v>
      </c>
      <c r="R468" s="128">
        <v>63.95</v>
      </c>
      <c r="S468" s="130"/>
      <c r="T468" s="130" t="s">
        <v>31</v>
      </c>
      <c r="U468" s="147"/>
    </row>
    <row r="469" spans="1:21" ht="15.75" hidden="1" thickBot="1">
      <c r="A469" s="45">
        <v>1086</v>
      </c>
      <c r="B469" s="123"/>
      <c r="C469" s="123"/>
      <c r="D469" s="123"/>
      <c r="E469" s="123"/>
      <c r="F469" s="123"/>
      <c r="G469" s="127" t="s">
        <v>110</v>
      </c>
      <c r="H469" s="128">
        <v>2014</v>
      </c>
      <c r="I469" s="128" t="s">
        <v>79</v>
      </c>
      <c r="J469" s="128">
        <f t="shared" si="14"/>
        <v>3</v>
      </c>
      <c r="K469" s="128" t="s">
        <v>1439</v>
      </c>
      <c r="L469" s="128" t="s">
        <v>40</v>
      </c>
      <c r="M469" s="129" t="s">
        <v>31</v>
      </c>
      <c r="N469" s="129" t="s">
        <v>28</v>
      </c>
      <c r="O469" s="129" t="s">
        <v>28</v>
      </c>
      <c r="P469" s="129" t="str">
        <f t="shared" si="15"/>
        <v>N/A</v>
      </c>
      <c r="Q469" s="128" t="s">
        <v>1532</v>
      </c>
      <c r="R469" s="128">
        <v>30.06</v>
      </c>
      <c r="S469" s="130"/>
      <c r="T469" s="130" t="s">
        <v>31</v>
      </c>
      <c r="U469" s="147"/>
    </row>
    <row r="470" spans="1:21" ht="15.75" hidden="1" thickBot="1">
      <c r="A470" s="45">
        <v>1086</v>
      </c>
      <c r="B470" s="123"/>
      <c r="C470" s="123"/>
      <c r="D470" s="123"/>
      <c r="E470" s="123"/>
      <c r="F470" s="123"/>
      <c r="G470" s="127" t="s">
        <v>110</v>
      </c>
      <c r="H470" s="128">
        <v>2014</v>
      </c>
      <c r="I470" s="128" t="s">
        <v>79</v>
      </c>
      <c r="J470" s="128">
        <f t="shared" si="14"/>
        <v>3</v>
      </c>
      <c r="K470" s="128" t="s">
        <v>1533</v>
      </c>
      <c r="L470" s="128" t="s">
        <v>30</v>
      </c>
      <c r="M470" s="129" t="s">
        <v>34</v>
      </c>
      <c r="N470" s="129" t="s">
        <v>28</v>
      </c>
      <c r="O470" s="129" t="s">
        <v>28</v>
      </c>
      <c r="P470" s="129" t="str">
        <f t="shared" si="15"/>
        <v>N/A</v>
      </c>
      <c r="Q470" s="128" t="s">
        <v>1534</v>
      </c>
      <c r="R470" s="128">
        <v>5.68</v>
      </c>
      <c r="S470" s="130"/>
      <c r="T470" s="130" t="s">
        <v>1434</v>
      </c>
      <c r="U470" s="147" t="s">
        <v>1535</v>
      </c>
    </row>
    <row r="471" spans="1:21" ht="15.75" thickBot="1">
      <c r="A471" s="45">
        <v>1087</v>
      </c>
      <c r="B471" s="123"/>
      <c r="C471" s="123"/>
      <c r="D471" s="123"/>
      <c r="E471" s="123"/>
      <c r="F471" s="123"/>
      <c r="G471" s="127" t="s">
        <v>110</v>
      </c>
      <c r="H471" s="128">
        <v>2014</v>
      </c>
      <c r="I471" s="128" t="s">
        <v>119</v>
      </c>
      <c r="J471" s="128">
        <f t="shared" si="14"/>
        <v>4</v>
      </c>
      <c r="K471" s="128" t="s">
        <v>1536</v>
      </c>
      <c r="L471" s="128" t="s">
        <v>40</v>
      </c>
      <c r="M471" s="129" t="s">
        <v>201</v>
      </c>
      <c r="N471" s="129" t="s">
        <v>28</v>
      </c>
      <c r="O471" s="129"/>
      <c r="P471" s="129" t="str">
        <f t="shared" si="15"/>
        <v/>
      </c>
      <c r="Q471" s="128" t="s">
        <v>1537</v>
      </c>
      <c r="R471" s="128">
        <v>8.08</v>
      </c>
      <c r="S471" s="130"/>
      <c r="T471" s="130" t="s">
        <v>1407</v>
      </c>
      <c r="U471" s="147"/>
    </row>
    <row r="472" spans="1:21" ht="15.75" thickBot="1">
      <c r="A472" s="45">
        <v>1087</v>
      </c>
      <c r="B472" s="123"/>
      <c r="C472" s="123"/>
      <c r="D472" s="123"/>
      <c r="E472" s="123"/>
      <c r="F472" s="123"/>
      <c r="G472" s="127" t="s">
        <v>110</v>
      </c>
      <c r="H472" s="128">
        <v>2014</v>
      </c>
      <c r="I472" s="128" t="s">
        <v>119</v>
      </c>
      <c r="J472" s="128">
        <f t="shared" si="14"/>
        <v>4</v>
      </c>
      <c r="K472" s="128" t="s">
        <v>1538</v>
      </c>
      <c r="L472" s="128" t="s">
        <v>30</v>
      </c>
      <c r="M472" s="129" t="s">
        <v>201</v>
      </c>
      <c r="N472" s="129" t="s">
        <v>28</v>
      </c>
      <c r="O472" s="129"/>
      <c r="P472" s="129" t="str">
        <f t="shared" si="15"/>
        <v/>
      </c>
      <c r="Q472" s="128" t="s">
        <v>1539</v>
      </c>
      <c r="R472" s="128">
        <v>32.9</v>
      </c>
      <c r="S472" s="128">
        <v>47.59</v>
      </c>
      <c r="T472" s="130" t="s">
        <v>1407</v>
      </c>
      <c r="U472" s="147"/>
    </row>
    <row r="473" spans="1:21" ht="15.75" thickBot="1">
      <c r="A473" s="45">
        <v>1087</v>
      </c>
      <c r="B473" s="123"/>
      <c r="C473" s="123"/>
      <c r="D473" s="123"/>
      <c r="E473" s="123"/>
      <c r="F473" s="123"/>
      <c r="G473" s="127" t="s">
        <v>110</v>
      </c>
      <c r="H473" s="128">
        <v>2014</v>
      </c>
      <c r="I473" s="128" t="s">
        <v>119</v>
      </c>
      <c r="J473" s="128">
        <f t="shared" si="14"/>
        <v>4</v>
      </c>
      <c r="K473" s="128" t="s">
        <v>120</v>
      </c>
      <c r="L473" s="128" t="s">
        <v>40</v>
      </c>
      <c r="M473" s="129" t="s">
        <v>912</v>
      </c>
      <c r="N473" s="129" t="s">
        <v>32</v>
      </c>
      <c r="O473" s="129"/>
      <c r="P473" s="129" t="str">
        <f t="shared" si="15"/>
        <v/>
      </c>
      <c r="Q473" s="132" t="s">
        <v>1540</v>
      </c>
      <c r="R473" s="128">
        <v>38.21</v>
      </c>
      <c r="S473" s="128">
        <v>52.41</v>
      </c>
      <c r="T473" s="130" t="s">
        <v>1069</v>
      </c>
      <c r="U473" s="147"/>
    </row>
    <row r="474" spans="1:21" ht="15.75" thickBot="1">
      <c r="A474" s="45">
        <v>1087</v>
      </c>
      <c r="B474" s="123"/>
      <c r="C474" s="123"/>
      <c r="D474" s="123"/>
      <c r="E474" s="123"/>
      <c r="F474" s="123"/>
      <c r="G474" s="127" t="s">
        <v>110</v>
      </c>
      <c r="H474" s="128">
        <v>2014</v>
      </c>
      <c r="I474" s="128" t="s">
        <v>119</v>
      </c>
      <c r="J474" s="128">
        <f t="shared" si="14"/>
        <v>4</v>
      </c>
      <c r="K474" s="128" t="s">
        <v>1541</v>
      </c>
      <c r="L474" s="128" t="s">
        <v>30</v>
      </c>
      <c r="M474" s="129" t="s">
        <v>201</v>
      </c>
      <c r="N474" s="129" t="s">
        <v>28</v>
      </c>
      <c r="O474" s="129"/>
      <c r="P474" s="129" t="str">
        <f t="shared" si="15"/>
        <v/>
      </c>
      <c r="Q474" s="128" t="s">
        <v>1542</v>
      </c>
      <c r="R474" s="128">
        <v>20.46</v>
      </c>
      <c r="S474" s="130"/>
      <c r="T474" s="130" t="s">
        <v>1407</v>
      </c>
      <c r="U474" s="147"/>
    </row>
    <row r="475" spans="1:21" ht="15.75" hidden="1" thickBot="1">
      <c r="A475" s="45">
        <v>1088</v>
      </c>
      <c r="B475" s="123"/>
      <c r="C475" s="123"/>
      <c r="D475" s="123"/>
      <c r="E475" s="123"/>
      <c r="F475" s="123"/>
      <c r="G475" s="127" t="s">
        <v>110</v>
      </c>
      <c r="H475" s="128">
        <v>2014</v>
      </c>
      <c r="I475" s="128" t="s">
        <v>100</v>
      </c>
      <c r="J475" s="128">
        <f t="shared" si="14"/>
        <v>5</v>
      </c>
      <c r="K475" s="128" t="s">
        <v>121</v>
      </c>
      <c r="L475" s="128" t="s">
        <v>40</v>
      </c>
      <c r="M475" s="129" t="s">
        <v>201</v>
      </c>
      <c r="N475" s="129" t="s">
        <v>32</v>
      </c>
      <c r="O475" s="129" t="s">
        <v>32</v>
      </c>
      <c r="P475" s="129" t="str">
        <f t="shared" si="15"/>
        <v>Y</v>
      </c>
      <c r="Q475" s="132" t="s">
        <v>1543</v>
      </c>
      <c r="R475" s="128">
        <v>42.6</v>
      </c>
      <c r="S475" s="128">
        <v>52.33</v>
      </c>
      <c r="T475" s="130" t="s">
        <v>998</v>
      </c>
      <c r="U475" s="147"/>
    </row>
    <row r="476" spans="1:21" ht="15.75" hidden="1" thickBot="1">
      <c r="A476" s="45">
        <v>1088</v>
      </c>
      <c r="B476" s="123"/>
      <c r="C476" s="123"/>
      <c r="D476" s="123"/>
      <c r="E476" s="123"/>
      <c r="F476" s="123"/>
      <c r="G476" s="127" t="s">
        <v>110</v>
      </c>
      <c r="H476" s="128">
        <v>2014</v>
      </c>
      <c r="I476" s="128" t="s">
        <v>100</v>
      </c>
      <c r="J476" s="128">
        <f t="shared" si="14"/>
        <v>5</v>
      </c>
      <c r="K476" s="128" t="s">
        <v>1544</v>
      </c>
      <c r="L476" s="128" t="s">
        <v>30</v>
      </c>
      <c r="M476" s="129" t="s">
        <v>201</v>
      </c>
      <c r="N476" s="129" t="s">
        <v>28</v>
      </c>
      <c r="O476" s="129" t="s">
        <v>28</v>
      </c>
      <c r="P476" s="129" t="str">
        <f t="shared" si="15"/>
        <v>N/A</v>
      </c>
      <c r="Q476" s="132" t="s">
        <v>1545</v>
      </c>
      <c r="R476" s="128">
        <v>8.9700000000000006</v>
      </c>
      <c r="S476" s="130"/>
      <c r="T476" s="130" t="s">
        <v>998</v>
      </c>
      <c r="U476" s="147" t="s">
        <v>1546</v>
      </c>
    </row>
    <row r="477" spans="1:21" ht="15.75" hidden="1" thickBot="1">
      <c r="A477" s="45">
        <v>1088</v>
      </c>
      <c r="B477" s="123"/>
      <c r="C477" s="123"/>
      <c r="D477" s="123"/>
      <c r="E477" s="123"/>
      <c r="F477" s="123"/>
      <c r="G477" s="127" t="s">
        <v>110</v>
      </c>
      <c r="H477" s="128">
        <v>2014</v>
      </c>
      <c r="I477" s="128" t="s">
        <v>100</v>
      </c>
      <c r="J477" s="128">
        <f t="shared" si="14"/>
        <v>5</v>
      </c>
      <c r="K477" s="128" t="s">
        <v>1349</v>
      </c>
      <c r="L477" s="128" t="s">
        <v>30</v>
      </c>
      <c r="M477" s="129" t="s">
        <v>201</v>
      </c>
      <c r="N477" s="129" t="s">
        <v>28</v>
      </c>
      <c r="O477" s="129" t="s">
        <v>28</v>
      </c>
      <c r="P477" s="129" t="str">
        <f t="shared" si="15"/>
        <v>N/A</v>
      </c>
      <c r="Q477" s="132" t="s">
        <v>1547</v>
      </c>
      <c r="R477" s="128">
        <v>17.260000000000002</v>
      </c>
      <c r="S477" s="130"/>
      <c r="T477" s="130" t="s">
        <v>998</v>
      </c>
      <c r="U477" s="147" t="s">
        <v>1548</v>
      </c>
    </row>
    <row r="478" spans="1:21" ht="15.75" hidden="1" thickBot="1">
      <c r="A478" s="45">
        <v>1088</v>
      </c>
      <c r="B478" s="123"/>
      <c r="C478" s="123"/>
      <c r="D478" s="123"/>
      <c r="E478" s="123"/>
      <c r="F478" s="123"/>
      <c r="G478" s="127" t="s">
        <v>110</v>
      </c>
      <c r="H478" s="128">
        <v>2014</v>
      </c>
      <c r="I478" s="128" t="s">
        <v>100</v>
      </c>
      <c r="J478" s="128">
        <f t="shared" si="14"/>
        <v>5</v>
      </c>
      <c r="K478" s="128" t="s">
        <v>1549</v>
      </c>
      <c r="L478" s="128" t="s">
        <v>40</v>
      </c>
      <c r="M478" s="129" t="s">
        <v>201</v>
      </c>
      <c r="N478" s="129" t="s">
        <v>28</v>
      </c>
      <c r="O478" s="129" t="s">
        <v>28</v>
      </c>
      <c r="P478" s="129" t="str">
        <f t="shared" si="15"/>
        <v>N/A</v>
      </c>
      <c r="Q478" s="128" t="s">
        <v>1550</v>
      </c>
      <c r="R478" s="128">
        <v>29.94</v>
      </c>
      <c r="S478" s="128">
        <v>47.67</v>
      </c>
      <c r="T478" s="130" t="s">
        <v>998</v>
      </c>
      <c r="U478" s="147"/>
    </row>
    <row r="479" spans="1:21" ht="15.75" hidden="1" thickBot="1">
      <c r="A479" s="45">
        <v>1088</v>
      </c>
      <c r="B479" s="123"/>
      <c r="C479" s="123"/>
      <c r="D479" s="123"/>
      <c r="E479" s="123"/>
      <c r="F479" s="123"/>
      <c r="G479" s="127" t="s">
        <v>110</v>
      </c>
      <c r="H479" s="128">
        <v>2014</v>
      </c>
      <c r="I479" s="128" t="s">
        <v>100</v>
      </c>
      <c r="J479" s="128">
        <f t="shared" si="14"/>
        <v>5</v>
      </c>
      <c r="K479" s="128" t="s">
        <v>1551</v>
      </c>
      <c r="L479" s="128" t="s">
        <v>30</v>
      </c>
      <c r="M479" s="129" t="s">
        <v>1003</v>
      </c>
      <c r="N479" s="129" t="s">
        <v>28</v>
      </c>
      <c r="O479" s="129" t="s">
        <v>28</v>
      </c>
      <c r="P479" s="129" t="str">
        <f t="shared" si="15"/>
        <v>N/A</v>
      </c>
      <c r="Q479" s="132" t="s">
        <v>1552</v>
      </c>
      <c r="R479" s="128">
        <v>0.73</v>
      </c>
      <c r="S479" s="130"/>
      <c r="T479" s="130" t="s">
        <v>31</v>
      </c>
      <c r="U479" s="147"/>
    </row>
    <row r="480" spans="1:21" ht="15.75" thickBot="1">
      <c r="A480" s="45">
        <v>1089</v>
      </c>
      <c r="B480" s="123"/>
      <c r="C480" s="123"/>
      <c r="D480" s="123"/>
      <c r="E480" s="123"/>
      <c r="F480" s="123"/>
      <c r="G480" s="127" t="s">
        <v>110</v>
      </c>
      <c r="H480" s="128">
        <v>2014</v>
      </c>
      <c r="I480" s="128" t="s">
        <v>122</v>
      </c>
      <c r="J480" s="128">
        <f t="shared" si="14"/>
        <v>2</v>
      </c>
      <c r="K480" s="128" t="s">
        <v>1553</v>
      </c>
      <c r="L480" s="128" t="s">
        <v>30</v>
      </c>
      <c r="M480" s="129" t="s">
        <v>1065</v>
      </c>
      <c r="N480" s="129" t="s">
        <v>28</v>
      </c>
      <c r="O480" s="129"/>
      <c r="P480" s="129" t="str">
        <f t="shared" si="15"/>
        <v/>
      </c>
      <c r="Q480" s="128" t="s">
        <v>1554</v>
      </c>
      <c r="R480" s="128">
        <v>41.1</v>
      </c>
      <c r="S480" s="130"/>
      <c r="T480" s="130" t="s">
        <v>1407</v>
      </c>
      <c r="U480" s="147"/>
    </row>
    <row r="481" spans="1:21" ht="15.75" thickBot="1">
      <c r="A481" s="45">
        <v>1089</v>
      </c>
      <c r="B481" s="123"/>
      <c r="C481" s="123"/>
      <c r="D481" s="123"/>
      <c r="E481" s="123"/>
      <c r="F481" s="123"/>
      <c r="G481" s="127" t="s">
        <v>110</v>
      </c>
      <c r="H481" s="128">
        <v>2014</v>
      </c>
      <c r="I481" s="128" t="s">
        <v>122</v>
      </c>
      <c r="J481" s="128">
        <f t="shared" si="14"/>
        <v>2</v>
      </c>
      <c r="K481" s="128" t="s">
        <v>1555</v>
      </c>
      <c r="L481" s="128" t="s">
        <v>40</v>
      </c>
      <c r="M481" s="129" t="s">
        <v>1065</v>
      </c>
      <c r="N481" s="129" t="s">
        <v>32</v>
      </c>
      <c r="O481" s="129"/>
      <c r="P481" s="129" t="str">
        <f t="shared" si="15"/>
        <v/>
      </c>
      <c r="Q481" s="132" t="s">
        <v>1556</v>
      </c>
      <c r="R481" s="128">
        <v>58.02</v>
      </c>
      <c r="S481" s="130"/>
      <c r="T481" s="130" t="s">
        <v>1407</v>
      </c>
      <c r="U481" s="147"/>
    </row>
    <row r="482" spans="1:21" ht="15.75" hidden="1" thickBot="1">
      <c r="A482" s="45">
        <v>1185</v>
      </c>
      <c r="B482" s="45">
        <v>1186</v>
      </c>
      <c r="C482" s="45">
        <v>1187</v>
      </c>
      <c r="D482" s="45">
        <v>1188</v>
      </c>
      <c r="E482" s="45">
        <v>1189</v>
      </c>
      <c r="F482" s="123"/>
      <c r="G482" s="127" t="s">
        <v>177</v>
      </c>
      <c r="H482" s="128">
        <v>1999</v>
      </c>
      <c r="I482" s="128" t="s">
        <v>21</v>
      </c>
      <c r="J482" s="128">
        <f t="shared" si="14"/>
        <v>12</v>
      </c>
      <c r="K482" s="128" t="s">
        <v>1557</v>
      </c>
      <c r="L482" s="128" t="s">
        <v>30</v>
      </c>
      <c r="M482" s="129" t="s">
        <v>201</v>
      </c>
      <c r="N482" s="129" t="s">
        <v>28</v>
      </c>
      <c r="O482" s="129" t="s">
        <v>28</v>
      </c>
      <c r="P482" s="129" t="str">
        <f t="shared" si="15"/>
        <v>N/A</v>
      </c>
      <c r="Q482" s="130"/>
      <c r="R482" s="128">
        <v>4.03</v>
      </c>
      <c r="S482" s="130"/>
      <c r="T482" s="130"/>
      <c r="U482" s="147"/>
    </row>
    <row r="483" spans="1:21" ht="15.75" thickBot="1">
      <c r="A483" s="45">
        <v>1185</v>
      </c>
      <c r="B483" s="45">
        <v>1186</v>
      </c>
      <c r="C483" s="45">
        <v>1187</v>
      </c>
      <c r="D483" s="45">
        <v>1188</v>
      </c>
      <c r="E483" s="45">
        <v>1189</v>
      </c>
      <c r="F483" s="123"/>
      <c r="G483" s="127" t="s">
        <v>177</v>
      </c>
      <c r="H483" s="128">
        <v>1999</v>
      </c>
      <c r="I483" s="128" t="s">
        <v>21</v>
      </c>
      <c r="J483" s="128">
        <f t="shared" si="14"/>
        <v>12</v>
      </c>
      <c r="K483" s="128" t="s">
        <v>209</v>
      </c>
      <c r="L483" s="128" t="s">
        <v>30</v>
      </c>
      <c r="M483" s="129" t="s">
        <v>31</v>
      </c>
      <c r="N483" s="129" t="s">
        <v>28</v>
      </c>
      <c r="O483" s="129"/>
      <c r="P483" s="129" t="str">
        <f t="shared" si="15"/>
        <v/>
      </c>
      <c r="Q483" s="128" t="s">
        <v>1558</v>
      </c>
      <c r="R483" s="128">
        <v>9.4</v>
      </c>
      <c r="S483" s="130"/>
      <c r="T483" s="130" t="s">
        <v>31</v>
      </c>
      <c r="U483" s="147"/>
    </row>
    <row r="484" spans="1:21" ht="15.75" thickBot="1">
      <c r="A484" s="45">
        <v>1185</v>
      </c>
      <c r="B484" s="45">
        <v>1186</v>
      </c>
      <c r="C484" s="45">
        <v>1187</v>
      </c>
      <c r="D484" s="45">
        <v>1188</v>
      </c>
      <c r="E484" s="45">
        <v>1189</v>
      </c>
      <c r="F484" s="123"/>
      <c r="G484" s="127" t="s">
        <v>177</v>
      </c>
      <c r="H484" s="128">
        <v>1999</v>
      </c>
      <c r="I484" s="128" t="s">
        <v>21</v>
      </c>
      <c r="J484" s="128">
        <f t="shared" si="14"/>
        <v>12</v>
      </c>
      <c r="K484" s="128" t="s">
        <v>1559</v>
      </c>
      <c r="L484" s="128" t="s">
        <v>30</v>
      </c>
      <c r="M484" s="129" t="s">
        <v>31</v>
      </c>
      <c r="N484" s="129" t="s">
        <v>28</v>
      </c>
      <c r="O484" s="129"/>
      <c r="P484" s="129" t="str">
        <f t="shared" si="15"/>
        <v/>
      </c>
      <c r="Q484" s="128" t="s">
        <v>1560</v>
      </c>
      <c r="R484" s="128">
        <v>6.32</v>
      </c>
      <c r="S484" s="130"/>
      <c r="T484" s="130" t="s">
        <v>31</v>
      </c>
      <c r="U484" s="147"/>
    </row>
    <row r="485" spans="1:21" ht="15.75" thickBot="1">
      <c r="A485" s="45">
        <v>1185</v>
      </c>
      <c r="B485" s="45">
        <v>1186</v>
      </c>
      <c r="C485" s="45">
        <v>1187</v>
      </c>
      <c r="D485" s="45">
        <v>1188</v>
      </c>
      <c r="E485" s="45">
        <v>1189</v>
      </c>
      <c r="F485" s="123"/>
      <c r="G485" s="127" t="s">
        <v>177</v>
      </c>
      <c r="H485" s="128">
        <v>1999</v>
      </c>
      <c r="I485" s="128" t="s">
        <v>21</v>
      </c>
      <c r="J485" s="128">
        <f t="shared" si="14"/>
        <v>12</v>
      </c>
      <c r="K485" s="128" t="s">
        <v>1561</v>
      </c>
      <c r="L485" s="128" t="s">
        <v>40</v>
      </c>
      <c r="M485" s="129" t="s">
        <v>31</v>
      </c>
      <c r="N485" s="129" t="s">
        <v>28</v>
      </c>
      <c r="O485" s="129"/>
      <c r="P485" s="129" t="str">
        <f t="shared" si="15"/>
        <v/>
      </c>
      <c r="Q485" s="128" t="s">
        <v>1562</v>
      </c>
      <c r="R485" s="128">
        <v>7.06</v>
      </c>
      <c r="S485" s="130"/>
      <c r="T485" s="130" t="s">
        <v>31</v>
      </c>
      <c r="U485" s="147"/>
    </row>
    <row r="486" spans="1:21" ht="15.75" thickBot="1">
      <c r="A486" s="45">
        <v>1185</v>
      </c>
      <c r="B486" s="45">
        <v>1186</v>
      </c>
      <c r="C486" s="45">
        <v>1187</v>
      </c>
      <c r="D486" s="45">
        <v>1188</v>
      </c>
      <c r="E486" s="45">
        <v>1189</v>
      </c>
      <c r="F486" s="123"/>
      <c r="G486" s="127" t="s">
        <v>177</v>
      </c>
      <c r="H486" s="128">
        <v>1999</v>
      </c>
      <c r="I486" s="128" t="s">
        <v>21</v>
      </c>
      <c r="J486" s="128">
        <f t="shared" si="14"/>
        <v>12</v>
      </c>
      <c r="K486" s="128" t="s">
        <v>188</v>
      </c>
      <c r="L486" s="128" t="s">
        <v>30</v>
      </c>
      <c r="M486" s="129" t="s">
        <v>201</v>
      </c>
      <c r="N486" s="129" t="s">
        <v>32</v>
      </c>
      <c r="O486" s="129"/>
      <c r="P486" s="129" t="str">
        <f t="shared" si="15"/>
        <v/>
      </c>
      <c r="Q486" s="130"/>
      <c r="R486" s="128">
        <v>9.6199999999999992</v>
      </c>
      <c r="S486" s="130"/>
      <c r="T486" s="130"/>
      <c r="U486" s="147"/>
    </row>
    <row r="487" spans="1:21" ht="15.75" thickBot="1">
      <c r="A487" s="45">
        <v>1185</v>
      </c>
      <c r="B487" s="45">
        <v>1186</v>
      </c>
      <c r="C487" s="45">
        <v>1187</v>
      </c>
      <c r="D487" s="45">
        <v>1188</v>
      </c>
      <c r="E487" s="45">
        <v>1189</v>
      </c>
      <c r="F487" s="123"/>
      <c r="G487" s="127" t="s">
        <v>177</v>
      </c>
      <c r="H487" s="128">
        <v>1999</v>
      </c>
      <c r="I487" s="128" t="s">
        <v>21</v>
      </c>
      <c r="J487" s="128">
        <f t="shared" si="14"/>
        <v>12</v>
      </c>
      <c r="K487" s="128" t="s">
        <v>192</v>
      </c>
      <c r="L487" s="128" t="s">
        <v>30</v>
      </c>
      <c r="M487" s="129" t="s">
        <v>31</v>
      </c>
      <c r="N487" s="129" t="s">
        <v>28</v>
      </c>
      <c r="O487" s="129"/>
      <c r="P487" s="129" t="str">
        <f t="shared" si="15"/>
        <v/>
      </c>
      <c r="Q487" s="130"/>
      <c r="R487" s="128">
        <v>9</v>
      </c>
      <c r="S487" s="130"/>
      <c r="T487" s="130"/>
      <c r="U487" s="147"/>
    </row>
    <row r="488" spans="1:21" ht="15.75" thickBot="1">
      <c r="A488" s="45">
        <v>1185</v>
      </c>
      <c r="B488" s="45">
        <v>1186</v>
      </c>
      <c r="C488" s="45">
        <v>1187</v>
      </c>
      <c r="D488" s="45">
        <v>1188</v>
      </c>
      <c r="E488" s="45">
        <v>1189</v>
      </c>
      <c r="F488" s="123"/>
      <c r="G488" s="127" t="s">
        <v>177</v>
      </c>
      <c r="H488" s="128">
        <v>1999</v>
      </c>
      <c r="I488" s="128" t="s">
        <v>21</v>
      </c>
      <c r="J488" s="128">
        <f t="shared" si="14"/>
        <v>12</v>
      </c>
      <c r="K488" s="128" t="s">
        <v>1563</v>
      </c>
      <c r="L488" s="128" t="s">
        <v>30</v>
      </c>
      <c r="M488" s="129" t="s">
        <v>201</v>
      </c>
      <c r="N488" s="129" t="s">
        <v>28</v>
      </c>
      <c r="O488" s="129"/>
      <c r="P488" s="129" t="str">
        <f t="shared" si="15"/>
        <v/>
      </c>
      <c r="Q488" s="128" t="s">
        <v>1564</v>
      </c>
      <c r="R488" s="128">
        <v>4.38</v>
      </c>
      <c r="S488" s="130"/>
      <c r="T488" s="130" t="s">
        <v>1015</v>
      </c>
      <c r="U488" s="147"/>
    </row>
    <row r="489" spans="1:21" ht="39" thickBot="1">
      <c r="A489" s="45">
        <v>1185</v>
      </c>
      <c r="B489" s="45">
        <v>1186</v>
      </c>
      <c r="C489" s="45">
        <v>1187</v>
      </c>
      <c r="D489" s="45">
        <v>1188</v>
      </c>
      <c r="E489" s="45">
        <v>1189</v>
      </c>
      <c r="F489" s="123"/>
      <c r="G489" s="127" t="s">
        <v>177</v>
      </c>
      <c r="H489" s="128">
        <v>1999</v>
      </c>
      <c r="I489" s="128" t="s">
        <v>21</v>
      </c>
      <c r="J489" s="128">
        <f t="shared" si="14"/>
        <v>12</v>
      </c>
      <c r="K489" s="128" t="s">
        <v>1565</v>
      </c>
      <c r="L489" s="128" t="s">
        <v>40</v>
      </c>
      <c r="M489" s="129" t="s">
        <v>1065</v>
      </c>
      <c r="N489" s="129" t="s">
        <v>28</v>
      </c>
      <c r="O489" s="129"/>
      <c r="P489" s="129" t="str">
        <f t="shared" si="15"/>
        <v/>
      </c>
      <c r="Q489" s="128" t="s">
        <v>1566</v>
      </c>
      <c r="R489" s="128">
        <v>8.52</v>
      </c>
      <c r="S489" s="130"/>
      <c r="T489" s="130" t="s">
        <v>1567</v>
      </c>
      <c r="U489" s="147"/>
    </row>
    <row r="490" spans="1:21" ht="15.75" thickBot="1">
      <c r="A490" s="45">
        <v>1185</v>
      </c>
      <c r="B490" s="45">
        <v>1186</v>
      </c>
      <c r="C490" s="45">
        <v>1187</v>
      </c>
      <c r="D490" s="45">
        <v>1188</v>
      </c>
      <c r="E490" s="45">
        <v>1189</v>
      </c>
      <c r="F490" s="123"/>
      <c r="G490" s="127" t="s">
        <v>177</v>
      </c>
      <c r="H490" s="128">
        <v>1999</v>
      </c>
      <c r="I490" s="128" t="s">
        <v>21</v>
      </c>
      <c r="J490" s="128">
        <f t="shared" si="14"/>
        <v>12</v>
      </c>
      <c r="K490" s="128" t="s">
        <v>202</v>
      </c>
      <c r="L490" s="128" t="s">
        <v>40</v>
      </c>
      <c r="M490" s="129" t="s">
        <v>201</v>
      </c>
      <c r="N490" s="129" t="s">
        <v>32</v>
      </c>
      <c r="O490" s="129"/>
      <c r="P490" s="129" t="str">
        <f t="shared" si="15"/>
        <v/>
      </c>
      <c r="Q490" s="130"/>
      <c r="R490" s="128">
        <v>12.58</v>
      </c>
      <c r="S490" s="130"/>
      <c r="T490" s="130"/>
      <c r="U490" s="147"/>
    </row>
    <row r="491" spans="1:21" ht="15.75" thickBot="1">
      <c r="A491" s="45">
        <v>1185</v>
      </c>
      <c r="B491" s="45">
        <v>1186</v>
      </c>
      <c r="C491" s="45">
        <v>1187</v>
      </c>
      <c r="D491" s="45">
        <v>1188</v>
      </c>
      <c r="E491" s="45">
        <v>1189</v>
      </c>
      <c r="F491" s="123"/>
      <c r="G491" s="127" t="s">
        <v>177</v>
      </c>
      <c r="H491" s="128">
        <v>1999</v>
      </c>
      <c r="I491" s="128" t="s">
        <v>21</v>
      </c>
      <c r="J491" s="128">
        <f t="shared" si="14"/>
        <v>12</v>
      </c>
      <c r="K491" s="128" t="s">
        <v>203</v>
      </c>
      <c r="L491" s="128" t="s">
        <v>30</v>
      </c>
      <c r="M491" s="129" t="s">
        <v>201</v>
      </c>
      <c r="N491" s="129" t="s">
        <v>28</v>
      </c>
      <c r="O491" s="129"/>
      <c r="P491" s="129" t="str">
        <f t="shared" si="15"/>
        <v/>
      </c>
      <c r="Q491" s="130"/>
      <c r="R491" s="128">
        <v>9.5299999999999994</v>
      </c>
      <c r="S491" s="130"/>
      <c r="T491" s="130"/>
      <c r="U491" s="147"/>
    </row>
    <row r="492" spans="1:21" ht="15.75" thickBot="1">
      <c r="A492" s="45">
        <v>1185</v>
      </c>
      <c r="B492" s="45">
        <v>1186</v>
      </c>
      <c r="C492" s="45">
        <v>1187</v>
      </c>
      <c r="D492" s="45">
        <v>1188</v>
      </c>
      <c r="E492" s="45">
        <v>1189</v>
      </c>
      <c r="F492" s="123"/>
      <c r="G492" s="127" t="s">
        <v>177</v>
      </c>
      <c r="H492" s="128">
        <v>1999</v>
      </c>
      <c r="I492" s="128" t="s">
        <v>21</v>
      </c>
      <c r="J492" s="128">
        <f t="shared" si="14"/>
        <v>12</v>
      </c>
      <c r="K492" s="128" t="s">
        <v>1568</v>
      </c>
      <c r="L492" s="128" t="s">
        <v>30</v>
      </c>
      <c r="M492" s="129" t="s">
        <v>31</v>
      </c>
      <c r="N492" s="129" t="s">
        <v>28</v>
      </c>
      <c r="O492" s="129"/>
      <c r="P492" s="129" t="str">
        <f t="shared" si="15"/>
        <v/>
      </c>
      <c r="Q492" s="128" t="s">
        <v>1569</v>
      </c>
      <c r="R492" s="128">
        <v>9.06</v>
      </c>
      <c r="S492" s="130"/>
      <c r="T492" s="130" t="s">
        <v>31</v>
      </c>
      <c r="U492" s="147"/>
    </row>
    <row r="493" spans="1:21" ht="15.75" thickBot="1">
      <c r="A493" s="45">
        <v>1185</v>
      </c>
      <c r="B493" s="45">
        <v>1186</v>
      </c>
      <c r="C493" s="45">
        <v>1187</v>
      </c>
      <c r="D493" s="45">
        <v>1188</v>
      </c>
      <c r="E493" s="45">
        <v>1189</v>
      </c>
      <c r="F493" s="123"/>
      <c r="G493" s="127" t="s">
        <v>177</v>
      </c>
      <c r="H493" s="128">
        <v>1999</v>
      </c>
      <c r="I493" s="128" t="s">
        <v>21</v>
      </c>
      <c r="J493" s="128">
        <f t="shared" si="14"/>
        <v>12</v>
      </c>
      <c r="K493" s="128" t="s">
        <v>187</v>
      </c>
      <c r="L493" s="128" t="s">
        <v>30</v>
      </c>
      <c r="M493" s="129" t="s">
        <v>31</v>
      </c>
      <c r="N493" s="129" t="s">
        <v>32</v>
      </c>
      <c r="O493" s="129"/>
      <c r="P493" s="129" t="str">
        <f t="shared" si="15"/>
        <v/>
      </c>
      <c r="Q493" s="130"/>
      <c r="R493" s="128">
        <v>10.5</v>
      </c>
      <c r="S493" s="130"/>
      <c r="T493" s="130"/>
      <c r="U493" s="147"/>
    </row>
    <row r="494" spans="1:21" ht="15.75" hidden="1" thickBot="1">
      <c r="A494" s="45">
        <v>1180</v>
      </c>
      <c r="B494" s="45">
        <v>1182</v>
      </c>
      <c r="C494" s="45">
        <v>1183</v>
      </c>
      <c r="D494" s="123"/>
      <c r="E494" s="123"/>
      <c r="F494" s="123"/>
      <c r="G494" s="127" t="s">
        <v>177</v>
      </c>
      <c r="H494" s="128">
        <v>2001</v>
      </c>
      <c r="I494" s="128" t="s">
        <v>21</v>
      </c>
      <c r="J494" s="128">
        <f t="shared" si="14"/>
        <v>6</v>
      </c>
      <c r="K494" s="128" t="s">
        <v>1557</v>
      </c>
      <c r="L494" s="128" t="s">
        <v>30</v>
      </c>
      <c r="M494" s="129" t="s">
        <v>201</v>
      </c>
      <c r="N494" s="129" t="s">
        <v>28</v>
      </c>
      <c r="O494" s="129" t="s">
        <v>28</v>
      </c>
      <c r="P494" s="129" t="str">
        <f t="shared" si="15"/>
        <v>N/A</v>
      </c>
      <c r="Q494" s="130"/>
      <c r="R494" s="128">
        <v>13.98</v>
      </c>
      <c r="S494" s="130"/>
      <c r="T494" s="130"/>
      <c r="U494" s="147"/>
    </row>
    <row r="495" spans="1:21" ht="15.75" thickBot="1">
      <c r="A495" s="45">
        <v>1180</v>
      </c>
      <c r="B495" s="45">
        <v>1182</v>
      </c>
      <c r="C495" s="45">
        <v>1183</v>
      </c>
      <c r="D495" s="123"/>
      <c r="E495" s="123"/>
      <c r="F495" s="123"/>
      <c r="G495" s="127" t="s">
        <v>177</v>
      </c>
      <c r="H495" s="128">
        <v>2001</v>
      </c>
      <c r="I495" s="128" t="s">
        <v>21</v>
      </c>
      <c r="J495" s="128">
        <f t="shared" si="14"/>
        <v>6</v>
      </c>
      <c r="K495" s="128" t="s">
        <v>1570</v>
      </c>
      <c r="L495" s="128" t="s">
        <v>40</v>
      </c>
      <c r="M495" s="129" t="s">
        <v>31</v>
      </c>
      <c r="N495" s="129" t="s">
        <v>28</v>
      </c>
      <c r="O495" s="129"/>
      <c r="P495" s="129" t="str">
        <f t="shared" si="15"/>
        <v/>
      </c>
      <c r="Q495" s="128" t="s">
        <v>1571</v>
      </c>
      <c r="R495" s="128">
        <v>12.45</v>
      </c>
      <c r="S495" s="130"/>
      <c r="T495" s="130" t="s">
        <v>31</v>
      </c>
      <c r="U495" s="150" t="s">
        <v>1572</v>
      </c>
    </row>
    <row r="496" spans="1:21" ht="15.75" thickBot="1">
      <c r="A496" s="45">
        <v>1180</v>
      </c>
      <c r="B496" s="45">
        <v>1182</v>
      </c>
      <c r="C496" s="45">
        <v>1183</v>
      </c>
      <c r="D496" s="123"/>
      <c r="E496" s="123"/>
      <c r="F496" s="123"/>
      <c r="G496" s="127" t="s">
        <v>177</v>
      </c>
      <c r="H496" s="128">
        <v>2001</v>
      </c>
      <c r="I496" s="128" t="s">
        <v>21</v>
      </c>
      <c r="J496" s="128">
        <f t="shared" si="14"/>
        <v>6</v>
      </c>
      <c r="K496" s="128" t="s">
        <v>192</v>
      </c>
      <c r="L496" s="128" t="s">
        <v>30</v>
      </c>
      <c r="M496" s="129" t="s">
        <v>31</v>
      </c>
      <c r="N496" s="129" t="s">
        <v>32</v>
      </c>
      <c r="O496" s="129"/>
      <c r="P496" s="129" t="str">
        <f t="shared" si="15"/>
        <v/>
      </c>
      <c r="Q496" s="130"/>
      <c r="R496" s="128">
        <v>16.37</v>
      </c>
      <c r="S496" s="130"/>
      <c r="T496" s="130"/>
      <c r="U496" s="147"/>
    </row>
    <row r="497" spans="1:21" ht="15.75" thickBot="1">
      <c r="A497" s="45">
        <v>1180</v>
      </c>
      <c r="B497" s="45">
        <v>1182</v>
      </c>
      <c r="C497" s="45">
        <v>1183</v>
      </c>
      <c r="D497" s="123"/>
      <c r="E497" s="123"/>
      <c r="F497" s="123"/>
      <c r="G497" s="127" t="s">
        <v>177</v>
      </c>
      <c r="H497" s="128">
        <v>2001</v>
      </c>
      <c r="I497" s="128" t="s">
        <v>21</v>
      </c>
      <c r="J497" s="128">
        <f t="shared" si="14"/>
        <v>6</v>
      </c>
      <c r="K497" s="128" t="s">
        <v>197</v>
      </c>
      <c r="L497" s="128" t="s">
        <v>40</v>
      </c>
      <c r="M497" s="129" t="s">
        <v>1065</v>
      </c>
      <c r="N497" s="129" t="s">
        <v>32</v>
      </c>
      <c r="O497" s="129"/>
      <c r="P497" s="129" t="str">
        <f t="shared" si="15"/>
        <v/>
      </c>
      <c r="Q497" s="130"/>
      <c r="R497" s="128">
        <v>27.14</v>
      </c>
      <c r="S497" s="130"/>
      <c r="T497" s="130"/>
      <c r="U497" s="147"/>
    </row>
    <row r="498" spans="1:21" ht="15.75" thickBot="1">
      <c r="A498" s="45">
        <v>1180</v>
      </c>
      <c r="B498" s="45">
        <v>1182</v>
      </c>
      <c r="C498" s="45">
        <v>1183</v>
      </c>
      <c r="D498" s="123"/>
      <c r="E498" s="123"/>
      <c r="F498" s="123"/>
      <c r="G498" s="127" t="s">
        <v>177</v>
      </c>
      <c r="H498" s="128">
        <v>2001</v>
      </c>
      <c r="I498" s="128" t="s">
        <v>21</v>
      </c>
      <c r="J498" s="128">
        <f t="shared" si="14"/>
        <v>6</v>
      </c>
      <c r="K498" s="128" t="s">
        <v>1573</v>
      </c>
      <c r="L498" s="128" t="s">
        <v>40</v>
      </c>
      <c r="M498" s="129" t="s">
        <v>201</v>
      </c>
      <c r="N498" s="129" t="s">
        <v>28</v>
      </c>
      <c r="O498" s="129"/>
      <c r="P498" s="129" t="str">
        <f t="shared" si="15"/>
        <v/>
      </c>
      <c r="Q498" s="128" t="s">
        <v>1574</v>
      </c>
      <c r="R498" s="128">
        <v>9.2899999999999991</v>
      </c>
      <c r="S498" s="130"/>
      <c r="T498" s="130"/>
      <c r="U498" s="147"/>
    </row>
    <row r="499" spans="1:21" ht="15.75" thickBot="1">
      <c r="A499" s="45">
        <v>1180</v>
      </c>
      <c r="B499" s="45">
        <v>1182</v>
      </c>
      <c r="C499" s="45">
        <v>1183</v>
      </c>
      <c r="D499" s="123"/>
      <c r="E499" s="123"/>
      <c r="F499" s="123"/>
      <c r="G499" s="127" t="s">
        <v>177</v>
      </c>
      <c r="H499" s="128">
        <v>2001</v>
      </c>
      <c r="I499" s="128" t="s">
        <v>21</v>
      </c>
      <c r="J499" s="128">
        <f t="shared" si="14"/>
        <v>6</v>
      </c>
      <c r="K499" s="128" t="s">
        <v>205</v>
      </c>
      <c r="L499" s="128" t="s">
        <v>30</v>
      </c>
      <c r="M499" s="129" t="s">
        <v>201</v>
      </c>
      <c r="N499" s="129" t="s">
        <v>32</v>
      </c>
      <c r="O499" s="129"/>
      <c r="P499" s="129" t="str">
        <f t="shared" si="15"/>
        <v/>
      </c>
      <c r="Q499" s="130"/>
      <c r="R499" s="128">
        <v>20.77</v>
      </c>
      <c r="S499" s="130"/>
      <c r="T499" s="130"/>
      <c r="U499" s="147"/>
    </row>
    <row r="500" spans="1:21" ht="15.75" thickBot="1">
      <c r="A500" s="45">
        <v>1181</v>
      </c>
      <c r="B500" s="123"/>
      <c r="C500" s="123"/>
      <c r="D500" s="123"/>
      <c r="E500" s="123"/>
      <c r="F500" s="123"/>
      <c r="G500" s="127" t="s">
        <v>177</v>
      </c>
      <c r="H500" s="128">
        <v>2001</v>
      </c>
      <c r="I500" s="128" t="s">
        <v>185</v>
      </c>
      <c r="J500" s="128">
        <f t="shared" si="14"/>
        <v>2</v>
      </c>
      <c r="K500" s="128" t="s">
        <v>206</v>
      </c>
      <c r="L500" s="128" t="s">
        <v>30</v>
      </c>
      <c r="M500" s="129" t="s">
        <v>201</v>
      </c>
      <c r="N500" s="129" t="s">
        <v>32</v>
      </c>
      <c r="O500" s="129"/>
      <c r="P500" s="129" t="str">
        <f t="shared" si="15"/>
        <v/>
      </c>
      <c r="Q500" s="128" t="s">
        <v>1575</v>
      </c>
      <c r="R500" s="128">
        <v>56.9</v>
      </c>
      <c r="S500" s="130"/>
      <c r="T500" s="130" t="s">
        <v>1069</v>
      </c>
      <c r="U500" s="147"/>
    </row>
    <row r="501" spans="1:21" ht="15.75" thickBot="1">
      <c r="A501" s="45">
        <v>1181</v>
      </c>
      <c r="B501" s="123"/>
      <c r="C501" s="123"/>
      <c r="D501" s="123"/>
      <c r="E501" s="123"/>
      <c r="F501" s="123"/>
      <c r="G501" s="127" t="s">
        <v>177</v>
      </c>
      <c r="H501" s="128">
        <v>2001</v>
      </c>
      <c r="I501" s="128" t="s">
        <v>185</v>
      </c>
      <c r="J501" s="128">
        <f t="shared" si="14"/>
        <v>2</v>
      </c>
      <c r="K501" s="128" t="s">
        <v>1576</v>
      </c>
      <c r="L501" s="128" t="s">
        <v>40</v>
      </c>
      <c r="M501" s="129" t="s">
        <v>31</v>
      </c>
      <c r="N501" s="129" t="s">
        <v>28</v>
      </c>
      <c r="O501" s="129"/>
      <c r="P501" s="129" t="str">
        <f t="shared" si="15"/>
        <v/>
      </c>
      <c r="Q501" s="128" t="s">
        <v>1004</v>
      </c>
      <c r="R501" s="128">
        <v>43.1</v>
      </c>
      <c r="S501" s="130"/>
      <c r="T501" s="130"/>
      <c r="U501" s="147"/>
    </row>
    <row r="502" spans="1:21" ht="15.75" thickBot="1">
      <c r="A502" s="45">
        <v>1184</v>
      </c>
      <c r="B502" s="123"/>
      <c r="C502" s="123"/>
      <c r="D502" s="123"/>
      <c r="E502" s="123"/>
      <c r="F502" s="123"/>
      <c r="G502" s="127" t="s">
        <v>177</v>
      </c>
      <c r="H502" s="128">
        <v>2001</v>
      </c>
      <c r="I502" s="128" t="s">
        <v>38</v>
      </c>
      <c r="J502" s="128">
        <f t="shared" si="14"/>
        <v>4</v>
      </c>
      <c r="K502" s="128" t="s">
        <v>207</v>
      </c>
      <c r="L502" s="128" t="s">
        <v>40</v>
      </c>
      <c r="M502" s="129" t="s">
        <v>201</v>
      </c>
      <c r="N502" s="129" t="s">
        <v>32</v>
      </c>
      <c r="O502" s="129"/>
      <c r="P502" s="129" t="str">
        <f t="shared" si="15"/>
        <v/>
      </c>
      <c r="Q502" s="130"/>
      <c r="R502" s="128">
        <v>36.54</v>
      </c>
      <c r="S502" s="130"/>
      <c r="T502" s="130"/>
      <c r="U502" s="147"/>
    </row>
    <row r="503" spans="1:21" ht="15.75" thickBot="1">
      <c r="A503" s="45">
        <v>1184</v>
      </c>
      <c r="B503" s="123"/>
      <c r="C503" s="123"/>
      <c r="D503" s="123"/>
      <c r="E503" s="123"/>
      <c r="F503" s="123"/>
      <c r="G503" s="127" t="s">
        <v>177</v>
      </c>
      <c r="H503" s="128">
        <v>2001</v>
      </c>
      <c r="I503" s="128" t="s">
        <v>38</v>
      </c>
      <c r="J503" s="128">
        <f t="shared" si="14"/>
        <v>4</v>
      </c>
      <c r="K503" s="128" t="s">
        <v>200</v>
      </c>
      <c r="L503" s="128" t="s">
        <v>30</v>
      </c>
      <c r="M503" s="129" t="s">
        <v>1065</v>
      </c>
      <c r="N503" s="129" t="s">
        <v>28</v>
      </c>
      <c r="O503" s="129"/>
      <c r="P503" s="129" t="str">
        <f t="shared" si="15"/>
        <v/>
      </c>
      <c r="Q503" s="130"/>
      <c r="R503" s="128">
        <v>17.41</v>
      </c>
      <c r="S503" s="130"/>
      <c r="T503" s="130"/>
      <c r="U503" s="147"/>
    </row>
    <row r="504" spans="1:21" ht="15.75" thickBot="1">
      <c r="A504" s="45">
        <v>1184</v>
      </c>
      <c r="B504" s="123"/>
      <c r="C504" s="123"/>
      <c r="D504" s="123"/>
      <c r="E504" s="123"/>
      <c r="F504" s="123"/>
      <c r="G504" s="127" t="s">
        <v>177</v>
      </c>
      <c r="H504" s="128">
        <v>2001</v>
      </c>
      <c r="I504" s="128" t="s">
        <v>38</v>
      </c>
      <c r="J504" s="128">
        <f t="shared" si="14"/>
        <v>4</v>
      </c>
      <c r="K504" s="128" t="s">
        <v>203</v>
      </c>
      <c r="L504" s="128" t="s">
        <v>30</v>
      </c>
      <c r="M504" s="129" t="s">
        <v>201</v>
      </c>
      <c r="N504" s="129" t="s">
        <v>28</v>
      </c>
      <c r="O504" s="129"/>
      <c r="P504" s="129" t="str">
        <f t="shared" si="15"/>
        <v/>
      </c>
      <c r="Q504" s="130"/>
      <c r="R504" s="128">
        <v>22.01</v>
      </c>
      <c r="S504" s="130"/>
      <c r="T504" s="130"/>
      <c r="U504" s="147"/>
    </row>
    <row r="505" spans="1:21" ht="15.75" thickBot="1">
      <c r="A505" s="45">
        <v>1184</v>
      </c>
      <c r="B505" s="123"/>
      <c r="C505" s="123"/>
      <c r="D505" s="123"/>
      <c r="E505" s="123"/>
      <c r="F505" s="123"/>
      <c r="G505" s="127" t="s">
        <v>177</v>
      </c>
      <c r="H505" s="128">
        <v>2001</v>
      </c>
      <c r="I505" s="128" t="s">
        <v>38</v>
      </c>
      <c r="J505" s="128">
        <f t="shared" si="14"/>
        <v>4</v>
      </c>
      <c r="K505" s="128" t="s">
        <v>187</v>
      </c>
      <c r="L505" s="128" t="s">
        <v>30</v>
      </c>
      <c r="M505" s="129" t="s">
        <v>31</v>
      </c>
      <c r="N505" s="129" t="s">
        <v>28</v>
      </c>
      <c r="O505" s="129"/>
      <c r="P505" s="129" t="str">
        <f t="shared" si="15"/>
        <v/>
      </c>
      <c r="Q505" s="130"/>
      <c r="R505" s="128">
        <v>24.04</v>
      </c>
      <c r="S505" s="130"/>
      <c r="T505" s="130"/>
      <c r="U505" s="147"/>
    </row>
    <row r="506" spans="1:21" ht="15.75" hidden="1" thickBot="1">
      <c r="A506" s="45">
        <v>1175</v>
      </c>
      <c r="B506" s="45">
        <v>1176</v>
      </c>
      <c r="C506" s="45">
        <v>1177</v>
      </c>
      <c r="D506" s="45">
        <v>1178</v>
      </c>
      <c r="E506" s="45">
        <v>1179</v>
      </c>
      <c r="F506" s="123"/>
      <c r="G506" s="127" t="s">
        <v>177</v>
      </c>
      <c r="H506" s="128">
        <v>2004</v>
      </c>
      <c r="I506" s="128" t="s">
        <v>21</v>
      </c>
      <c r="J506" s="128">
        <f t="shared" si="14"/>
        <v>15</v>
      </c>
      <c r="K506" s="128" t="s">
        <v>1557</v>
      </c>
      <c r="L506" s="128" t="s">
        <v>30</v>
      </c>
      <c r="M506" s="129" t="s">
        <v>201</v>
      </c>
      <c r="N506" s="129" t="s">
        <v>28</v>
      </c>
      <c r="O506" s="129" t="s">
        <v>28</v>
      </c>
      <c r="P506" s="129" t="str">
        <f t="shared" si="15"/>
        <v>N/A</v>
      </c>
      <c r="Q506" s="130"/>
      <c r="R506" s="128">
        <v>5.2</v>
      </c>
      <c r="S506" s="130"/>
      <c r="T506" s="130"/>
      <c r="U506" s="147"/>
    </row>
    <row r="507" spans="1:21" ht="15.75" thickBot="1">
      <c r="A507" s="45">
        <v>1175</v>
      </c>
      <c r="B507" s="45">
        <v>1176</v>
      </c>
      <c r="C507" s="45">
        <v>1177</v>
      </c>
      <c r="D507" s="45">
        <v>1178</v>
      </c>
      <c r="E507" s="45">
        <v>1179</v>
      </c>
      <c r="F507" s="123"/>
      <c r="G507" s="127" t="s">
        <v>177</v>
      </c>
      <c r="H507" s="128">
        <v>2004</v>
      </c>
      <c r="I507" s="128" t="s">
        <v>21</v>
      </c>
      <c r="J507" s="128">
        <f t="shared" si="14"/>
        <v>15</v>
      </c>
      <c r="K507" s="128" t="s">
        <v>1577</v>
      </c>
      <c r="L507" s="128" t="s">
        <v>30</v>
      </c>
      <c r="M507" s="129" t="s">
        <v>201</v>
      </c>
      <c r="N507" s="129" t="s">
        <v>28</v>
      </c>
      <c r="O507" s="129" t="s">
        <v>32</v>
      </c>
      <c r="P507" s="129" t="str">
        <f t="shared" si="15"/>
        <v>N</v>
      </c>
      <c r="Q507" s="130"/>
      <c r="R507" s="128">
        <v>6.5</v>
      </c>
      <c r="S507" s="130"/>
      <c r="T507" s="130"/>
      <c r="U507" s="147"/>
    </row>
    <row r="508" spans="1:21" ht="15.75" hidden="1" thickBot="1">
      <c r="A508" s="45">
        <v>1175</v>
      </c>
      <c r="B508" s="45">
        <v>1176</v>
      </c>
      <c r="C508" s="45">
        <v>1177</v>
      </c>
      <c r="D508" s="45">
        <v>1178</v>
      </c>
      <c r="E508" s="45">
        <v>1179</v>
      </c>
      <c r="F508" s="123"/>
      <c r="G508" s="127" t="s">
        <v>177</v>
      </c>
      <c r="H508" s="128">
        <v>2004</v>
      </c>
      <c r="I508" s="128" t="s">
        <v>21</v>
      </c>
      <c r="J508" s="128">
        <f t="shared" si="14"/>
        <v>15</v>
      </c>
      <c r="K508" s="151" t="s">
        <v>200</v>
      </c>
      <c r="L508" s="128" t="s">
        <v>30</v>
      </c>
      <c r="M508" s="129" t="s">
        <v>1065</v>
      </c>
      <c r="N508" s="129" t="s">
        <v>32</v>
      </c>
      <c r="O508" s="129" t="s">
        <v>28</v>
      </c>
      <c r="P508" s="129" t="str">
        <f t="shared" si="15"/>
        <v>N/A</v>
      </c>
      <c r="Q508" s="130"/>
      <c r="R508" s="128">
        <v>10.1</v>
      </c>
      <c r="S508" s="130"/>
      <c r="T508" s="130"/>
      <c r="U508" s="147"/>
    </row>
    <row r="509" spans="1:21" ht="15.75" hidden="1" thickBot="1">
      <c r="A509" s="45">
        <v>1175</v>
      </c>
      <c r="B509" s="45">
        <v>1176</v>
      </c>
      <c r="C509" s="45">
        <v>1177</v>
      </c>
      <c r="D509" s="45">
        <v>1178</v>
      </c>
      <c r="E509" s="45">
        <v>1179</v>
      </c>
      <c r="F509" s="123"/>
      <c r="G509" s="127" t="s">
        <v>177</v>
      </c>
      <c r="H509" s="128">
        <v>2004</v>
      </c>
      <c r="I509" s="128" t="s">
        <v>21</v>
      </c>
      <c r="J509" s="128">
        <f t="shared" si="14"/>
        <v>15</v>
      </c>
      <c r="K509" s="128" t="s">
        <v>202</v>
      </c>
      <c r="L509" s="128" t="s">
        <v>40</v>
      </c>
      <c r="M509" s="129" t="s">
        <v>201</v>
      </c>
      <c r="N509" s="129" t="s">
        <v>32</v>
      </c>
      <c r="O509" s="129" t="s">
        <v>32</v>
      </c>
      <c r="P509" s="129" t="str">
        <f t="shared" si="15"/>
        <v>Y</v>
      </c>
      <c r="Q509" s="128" t="s">
        <v>1578</v>
      </c>
      <c r="R509" s="128">
        <v>9.5</v>
      </c>
      <c r="S509" s="130"/>
      <c r="T509" s="130" t="s">
        <v>998</v>
      </c>
      <c r="U509" s="147"/>
    </row>
    <row r="510" spans="1:21" ht="15.75" hidden="1" thickBot="1">
      <c r="A510" s="45">
        <v>1175</v>
      </c>
      <c r="B510" s="45">
        <v>1176</v>
      </c>
      <c r="C510" s="45">
        <v>1177</v>
      </c>
      <c r="D510" s="45">
        <v>1178</v>
      </c>
      <c r="E510" s="45">
        <v>1179</v>
      </c>
      <c r="F510" s="123"/>
      <c r="G510" s="127" t="s">
        <v>177</v>
      </c>
      <c r="H510" s="128">
        <v>2004</v>
      </c>
      <c r="I510" s="128" t="s">
        <v>21</v>
      </c>
      <c r="J510" s="128">
        <f t="shared" si="14"/>
        <v>15</v>
      </c>
      <c r="K510" s="128" t="s">
        <v>187</v>
      </c>
      <c r="L510" s="128" t="s">
        <v>30</v>
      </c>
      <c r="M510" s="129" t="s">
        <v>31</v>
      </c>
      <c r="N510" s="129" t="s">
        <v>32</v>
      </c>
      <c r="O510" s="129" t="s">
        <v>32</v>
      </c>
      <c r="P510" s="129" t="str">
        <f t="shared" si="15"/>
        <v>Y</v>
      </c>
      <c r="Q510" s="130"/>
      <c r="R510" s="128">
        <v>10.5</v>
      </c>
      <c r="S510" s="130"/>
      <c r="T510" s="130"/>
      <c r="U510" s="147"/>
    </row>
    <row r="511" spans="1:21" ht="15.75" thickBot="1">
      <c r="A511" s="45">
        <v>1175</v>
      </c>
      <c r="B511" s="45">
        <v>1176</v>
      </c>
      <c r="C511" s="45">
        <v>1177</v>
      </c>
      <c r="D511" s="45">
        <v>1178</v>
      </c>
      <c r="E511" s="45">
        <v>1179</v>
      </c>
      <c r="F511" s="123"/>
      <c r="G511" s="127" t="s">
        <v>177</v>
      </c>
      <c r="H511" s="128">
        <v>2004</v>
      </c>
      <c r="I511" s="128" t="s">
        <v>21</v>
      </c>
      <c r="J511" s="128">
        <f t="shared" si="14"/>
        <v>15</v>
      </c>
      <c r="K511" s="128" t="s">
        <v>1579</v>
      </c>
      <c r="L511" s="128" t="s">
        <v>30</v>
      </c>
      <c r="M511" s="129" t="s">
        <v>1003</v>
      </c>
      <c r="N511" s="129" t="s">
        <v>28</v>
      </c>
      <c r="O511" s="129"/>
      <c r="P511" s="129" t="str">
        <f t="shared" si="15"/>
        <v/>
      </c>
      <c r="Q511" s="144" t="s">
        <v>1004</v>
      </c>
      <c r="R511" s="128">
        <v>7.5</v>
      </c>
      <c r="S511" s="130"/>
      <c r="T511" s="130"/>
      <c r="U511" s="147"/>
    </row>
    <row r="512" spans="1:21" ht="15.75" thickBot="1">
      <c r="A512" s="45">
        <v>1175</v>
      </c>
      <c r="B512" s="45">
        <v>1176</v>
      </c>
      <c r="C512" s="45">
        <v>1177</v>
      </c>
      <c r="D512" s="45">
        <v>1178</v>
      </c>
      <c r="E512" s="45">
        <v>1179</v>
      </c>
      <c r="F512" s="123"/>
      <c r="G512" s="127" t="s">
        <v>177</v>
      </c>
      <c r="H512" s="128">
        <v>2004</v>
      </c>
      <c r="I512" s="128" t="s">
        <v>21</v>
      </c>
      <c r="J512" s="128">
        <f t="shared" si="14"/>
        <v>15</v>
      </c>
      <c r="K512" s="128" t="s">
        <v>1580</v>
      </c>
      <c r="L512" s="128" t="s">
        <v>30</v>
      </c>
      <c r="M512" s="129" t="s">
        <v>31</v>
      </c>
      <c r="N512" s="129" t="s">
        <v>28</v>
      </c>
      <c r="O512" s="129"/>
      <c r="P512" s="129" t="str">
        <f t="shared" si="15"/>
        <v/>
      </c>
      <c r="Q512" s="128" t="s">
        <v>1581</v>
      </c>
      <c r="R512" s="128">
        <v>4.4000000000000004</v>
      </c>
      <c r="S512" s="130"/>
      <c r="T512" s="130" t="s">
        <v>31</v>
      </c>
      <c r="U512" s="147"/>
    </row>
    <row r="513" spans="1:21" ht="15.75" thickBot="1">
      <c r="A513" s="45">
        <v>1175</v>
      </c>
      <c r="B513" s="45">
        <v>1176</v>
      </c>
      <c r="C513" s="45">
        <v>1177</v>
      </c>
      <c r="D513" s="45">
        <v>1178</v>
      </c>
      <c r="E513" s="45">
        <v>1179</v>
      </c>
      <c r="F513" s="123"/>
      <c r="G513" s="127" t="s">
        <v>177</v>
      </c>
      <c r="H513" s="128">
        <v>2004</v>
      </c>
      <c r="I513" s="128" t="s">
        <v>21</v>
      </c>
      <c r="J513" s="128">
        <f t="shared" si="14"/>
        <v>15</v>
      </c>
      <c r="K513" s="128" t="s">
        <v>1582</v>
      </c>
      <c r="L513" s="128" t="s">
        <v>30</v>
      </c>
      <c r="M513" s="129" t="s">
        <v>31</v>
      </c>
      <c r="N513" s="129" t="s">
        <v>28</v>
      </c>
      <c r="O513" s="129"/>
      <c r="P513" s="129" t="str">
        <f t="shared" si="15"/>
        <v/>
      </c>
      <c r="Q513" s="128" t="s">
        <v>1583</v>
      </c>
      <c r="R513" s="128">
        <v>2.1</v>
      </c>
      <c r="S513" s="130"/>
      <c r="T513" s="130" t="s">
        <v>31</v>
      </c>
      <c r="U513" s="147"/>
    </row>
    <row r="514" spans="1:21" ht="15.75" thickBot="1">
      <c r="A514" s="45">
        <v>1175</v>
      </c>
      <c r="B514" s="45">
        <v>1176</v>
      </c>
      <c r="C514" s="45">
        <v>1177</v>
      </c>
      <c r="D514" s="45">
        <v>1178</v>
      </c>
      <c r="E514" s="45">
        <v>1179</v>
      </c>
      <c r="F514" s="123"/>
      <c r="G514" s="127" t="s">
        <v>177</v>
      </c>
      <c r="H514" s="128">
        <v>2004</v>
      </c>
      <c r="I514" s="128" t="s">
        <v>21</v>
      </c>
      <c r="J514" s="128">
        <f t="shared" ref="J514:J577" si="16">COUNTIF(A$2:A$2215, A514)</f>
        <v>15</v>
      </c>
      <c r="K514" s="128" t="s">
        <v>1584</v>
      </c>
      <c r="L514" s="128" t="s">
        <v>40</v>
      </c>
      <c r="M514" s="129" t="s">
        <v>31</v>
      </c>
      <c r="N514" s="129" t="s">
        <v>28</v>
      </c>
      <c r="O514" s="129"/>
      <c r="P514" s="129" t="str">
        <f t="shared" si="15"/>
        <v/>
      </c>
      <c r="Q514" s="128" t="s">
        <v>1004</v>
      </c>
      <c r="R514" s="128">
        <v>6.7</v>
      </c>
      <c r="S514" s="130"/>
      <c r="T514" s="130"/>
      <c r="U514" s="147"/>
    </row>
    <row r="515" spans="1:21" ht="15.75" thickBot="1">
      <c r="A515" s="45">
        <v>1175</v>
      </c>
      <c r="B515" s="45">
        <v>1176</v>
      </c>
      <c r="C515" s="45">
        <v>1177</v>
      </c>
      <c r="D515" s="45">
        <v>1178</v>
      </c>
      <c r="E515" s="45">
        <v>1179</v>
      </c>
      <c r="F515" s="123"/>
      <c r="G515" s="127" t="s">
        <v>177</v>
      </c>
      <c r="H515" s="128">
        <v>2004</v>
      </c>
      <c r="I515" s="128" t="s">
        <v>21</v>
      </c>
      <c r="J515" s="128">
        <f t="shared" si="16"/>
        <v>15</v>
      </c>
      <c r="K515" s="128" t="s">
        <v>1585</v>
      </c>
      <c r="L515" s="128" t="s">
        <v>30</v>
      </c>
      <c r="M515" s="129" t="s">
        <v>201</v>
      </c>
      <c r="N515" s="129" t="s">
        <v>28</v>
      </c>
      <c r="O515" s="129"/>
      <c r="P515" s="129" t="str">
        <f t="shared" ref="P515:P578" si="17">IF(O515="N", "N/A", IF(AND(N515="N",  O515="Y"), "N", IF(AND(O515="Y", N515="Y"), "Y", "")))</f>
        <v/>
      </c>
      <c r="Q515" s="128" t="s">
        <v>1586</v>
      </c>
      <c r="R515" s="128">
        <v>5.5</v>
      </c>
      <c r="S515" s="130"/>
      <c r="T515" s="130"/>
      <c r="U515" s="147"/>
    </row>
    <row r="516" spans="1:21" ht="15.75" thickBot="1">
      <c r="A516" s="45">
        <v>1175</v>
      </c>
      <c r="B516" s="45">
        <v>1176</v>
      </c>
      <c r="C516" s="45">
        <v>1177</v>
      </c>
      <c r="D516" s="45">
        <v>1178</v>
      </c>
      <c r="E516" s="45">
        <v>1179</v>
      </c>
      <c r="F516" s="123"/>
      <c r="G516" s="127" t="s">
        <v>177</v>
      </c>
      <c r="H516" s="128">
        <v>2004</v>
      </c>
      <c r="I516" s="128" t="s">
        <v>21</v>
      </c>
      <c r="J516" s="128">
        <f t="shared" si="16"/>
        <v>15</v>
      </c>
      <c r="K516" s="128" t="s">
        <v>183</v>
      </c>
      <c r="L516" s="128" t="s">
        <v>40</v>
      </c>
      <c r="M516" s="129" t="s">
        <v>31</v>
      </c>
      <c r="N516" s="129" t="s">
        <v>32</v>
      </c>
      <c r="O516" s="129"/>
      <c r="P516" s="129" t="str">
        <f t="shared" si="17"/>
        <v/>
      </c>
      <c r="Q516" s="130"/>
      <c r="R516" s="128">
        <v>10</v>
      </c>
      <c r="S516" s="130"/>
      <c r="T516" s="130"/>
      <c r="U516" s="147"/>
    </row>
    <row r="517" spans="1:21" ht="15.75" thickBot="1">
      <c r="A517" s="45">
        <v>1175</v>
      </c>
      <c r="B517" s="45">
        <v>1176</v>
      </c>
      <c r="C517" s="45">
        <v>1177</v>
      </c>
      <c r="D517" s="45">
        <v>1178</v>
      </c>
      <c r="E517" s="45">
        <v>1179</v>
      </c>
      <c r="F517" s="123"/>
      <c r="G517" s="127" t="s">
        <v>177</v>
      </c>
      <c r="H517" s="128">
        <v>2004</v>
      </c>
      <c r="I517" s="128" t="s">
        <v>21</v>
      </c>
      <c r="J517" s="128">
        <f t="shared" si="16"/>
        <v>15</v>
      </c>
      <c r="K517" s="128" t="s">
        <v>1587</v>
      </c>
      <c r="L517" s="128" t="s">
        <v>30</v>
      </c>
      <c r="M517" s="129" t="s">
        <v>201</v>
      </c>
      <c r="N517" s="129" t="s">
        <v>28</v>
      </c>
      <c r="O517" s="129"/>
      <c r="P517" s="129" t="str">
        <f t="shared" si="17"/>
        <v/>
      </c>
      <c r="Q517" s="128" t="s">
        <v>1588</v>
      </c>
      <c r="R517" s="128">
        <v>1.9</v>
      </c>
      <c r="S517" s="130"/>
      <c r="T517" s="130" t="s">
        <v>998</v>
      </c>
      <c r="U517" s="131"/>
    </row>
    <row r="518" spans="1:21" ht="15.75" thickBot="1">
      <c r="A518" s="45">
        <v>1175</v>
      </c>
      <c r="B518" s="45">
        <v>1176</v>
      </c>
      <c r="C518" s="45">
        <v>1177</v>
      </c>
      <c r="D518" s="45">
        <v>1178</v>
      </c>
      <c r="E518" s="45">
        <v>1179</v>
      </c>
      <c r="F518" s="123"/>
      <c r="G518" s="127" t="s">
        <v>177</v>
      </c>
      <c r="H518" s="128">
        <v>2004</v>
      </c>
      <c r="I518" s="128" t="s">
        <v>21</v>
      </c>
      <c r="J518" s="128">
        <f t="shared" si="16"/>
        <v>15</v>
      </c>
      <c r="K518" s="128" t="s">
        <v>1589</v>
      </c>
      <c r="L518" s="128" t="s">
        <v>40</v>
      </c>
      <c r="M518" s="129" t="s">
        <v>31</v>
      </c>
      <c r="N518" s="129" t="s">
        <v>28</v>
      </c>
      <c r="O518" s="129"/>
      <c r="P518" s="129" t="str">
        <f t="shared" si="17"/>
        <v/>
      </c>
      <c r="Q518" s="128" t="s">
        <v>1004</v>
      </c>
      <c r="R518" s="128">
        <v>5.5</v>
      </c>
      <c r="S518" s="130"/>
      <c r="T518" s="130"/>
      <c r="U518" s="147"/>
    </row>
    <row r="519" spans="1:21" ht="15.75" thickBot="1">
      <c r="A519" s="45">
        <v>1175</v>
      </c>
      <c r="B519" s="45">
        <v>1176</v>
      </c>
      <c r="C519" s="45">
        <v>1177</v>
      </c>
      <c r="D519" s="45">
        <v>1178</v>
      </c>
      <c r="E519" s="45">
        <v>1179</v>
      </c>
      <c r="F519" s="123"/>
      <c r="G519" s="127" t="s">
        <v>177</v>
      </c>
      <c r="H519" s="128">
        <v>2004</v>
      </c>
      <c r="I519" s="128" t="s">
        <v>21</v>
      </c>
      <c r="J519" s="128">
        <f t="shared" si="16"/>
        <v>15</v>
      </c>
      <c r="K519" s="128" t="s">
        <v>203</v>
      </c>
      <c r="L519" s="128" t="s">
        <v>30</v>
      </c>
      <c r="M519" s="129" t="s">
        <v>201</v>
      </c>
      <c r="N519" s="129" t="s">
        <v>32</v>
      </c>
      <c r="O519" s="129"/>
      <c r="P519" s="129" t="str">
        <f t="shared" si="17"/>
        <v/>
      </c>
      <c r="Q519" s="130"/>
      <c r="R519" s="128">
        <v>8.6</v>
      </c>
      <c r="S519" s="130"/>
      <c r="T519" s="130"/>
      <c r="U519" s="147"/>
    </row>
    <row r="520" spans="1:21" ht="15.75" thickBot="1">
      <c r="A520" s="45">
        <v>1175</v>
      </c>
      <c r="B520" s="45">
        <v>1176</v>
      </c>
      <c r="C520" s="45">
        <v>1177</v>
      </c>
      <c r="D520" s="45">
        <v>1178</v>
      </c>
      <c r="E520" s="45">
        <v>1179</v>
      </c>
      <c r="F520" s="123"/>
      <c r="G520" s="127" t="s">
        <v>177</v>
      </c>
      <c r="H520" s="128">
        <v>2004</v>
      </c>
      <c r="I520" s="128" t="s">
        <v>21</v>
      </c>
      <c r="J520" s="128">
        <f t="shared" si="16"/>
        <v>15</v>
      </c>
      <c r="K520" s="128" t="s">
        <v>198</v>
      </c>
      <c r="L520" s="128" t="s">
        <v>30</v>
      </c>
      <c r="M520" s="129" t="s">
        <v>201</v>
      </c>
      <c r="N520" s="129" t="s">
        <v>28</v>
      </c>
      <c r="O520" s="129"/>
      <c r="P520" s="129" t="str">
        <f t="shared" si="17"/>
        <v/>
      </c>
      <c r="Q520" s="130"/>
      <c r="R520" s="128">
        <v>6</v>
      </c>
      <c r="S520" s="130"/>
      <c r="T520" s="130"/>
      <c r="U520" s="147"/>
    </row>
    <row r="521" spans="1:21" ht="15.75" hidden="1" thickBot="1">
      <c r="A521" s="45">
        <v>1170</v>
      </c>
      <c r="B521" s="123"/>
      <c r="C521" s="123"/>
      <c r="D521" s="123"/>
      <c r="E521" s="123"/>
      <c r="F521" s="123"/>
      <c r="G521" s="127" t="s">
        <v>177</v>
      </c>
      <c r="H521" s="128">
        <v>2006</v>
      </c>
      <c r="I521" s="128" t="s">
        <v>38</v>
      </c>
      <c r="J521" s="128">
        <f t="shared" si="16"/>
        <v>3</v>
      </c>
      <c r="K521" s="128" t="s">
        <v>188</v>
      </c>
      <c r="L521" s="128" t="s">
        <v>30</v>
      </c>
      <c r="M521" s="129" t="s">
        <v>201</v>
      </c>
      <c r="N521" s="129" t="s">
        <v>28</v>
      </c>
      <c r="O521" s="129" t="s">
        <v>28</v>
      </c>
      <c r="P521" s="129" t="str">
        <f t="shared" si="17"/>
        <v>N/A</v>
      </c>
      <c r="Q521" s="130"/>
      <c r="R521" s="128">
        <v>25.79</v>
      </c>
      <c r="S521" s="130"/>
      <c r="T521" s="130"/>
      <c r="U521" s="147"/>
    </row>
    <row r="522" spans="1:21" ht="15.75" hidden="1" thickBot="1">
      <c r="A522" s="45">
        <v>1170</v>
      </c>
      <c r="B522" s="123"/>
      <c r="C522" s="123"/>
      <c r="D522" s="123"/>
      <c r="E522" s="123"/>
      <c r="F522" s="123"/>
      <c r="G522" s="127" t="s">
        <v>177</v>
      </c>
      <c r="H522" s="128">
        <v>2006</v>
      </c>
      <c r="I522" s="128" t="s">
        <v>38</v>
      </c>
      <c r="J522" s="128">
        <f t="shared" si="16"/>
        <v>3</v>
      </c>
      <c r="K522" s="128" t="s">
        <v>183</v>
      </c>
      <c r="L522" s="128" t="s">
        <v>40</v>
      </c>
      <c r="M522" s="129" t="s">
        <v>31</v>
      </c>
      <c r="N522" s="129" t="s">
        <v>32</v>
      </c>
      <c r="O522" s="129" t="s">
        <v>28</v>
      </c>
      <c r="P522" s="129" t="str">
        <f t="shared" si="17"/>
        <v>N/A</v>
      </c>
      <c r="Q522" s="130"/>
      <c r="R522" s="128">
        <v>37.729999999999997</v>
      </c>
      <c r="S522" s="130"/>
      <c r="T522" s="130"/>
      <c r="U522" s="147"/>
    </row>
    <row r="523" spans="1:21" ht="15.75" thickBot="1">
      <c r="A523" s="45">
        <v>1170</v>
      </c>
      <c r="B523" s="123"/>
      <c r="C523" s="123"/>
      <c r="D523" s="123"/>
      <c r="E523" s="123"/>
      <c r="F523" s="123"/>
      <c r="G523" s="127" t="s">
        <v>177</v>
      </c>
      <c r="H523" s="128">
        <v>2006</v>
      </c>
      <c r="I523" s="128" t="s">
        <v>38</v>
      </c>
      <c r="J523" s="128">
        <f t="shared" si="16"/>
        <v>3</v>
      </c>
      <c r="K523" s="128" t="s">
        <v>207</v>
      </c>
      <c r="L523" s="128" t="s">
        <v>40</v>
      </c>
      <c r="M523" s="129" t="s">
        <v>201</v>
      </c>
      <c r="N523" s="129" t="s">
        <v>28</v>
      </c>
      <c r="O523" s="129" t="s">
        <v>32</v>
      </c>
      <c r="P523" s="129" t="str">
        <f t="shared" si="17"/>
        <v>N</v>
      </c>
      <c r="Q523" s="128" t="s">
        <v>1590</v>
      </c>
      <c r="R523" s="128">
        <v>36.479999999999997</v>
      </c>
      <c r="S523" s="130"/>
      <c r="T523" s="130" t="s">
        <v>998</v>
      </c>
      <c r="U523" s="147"/>
    </row>
    <row r="524" spans="1:21" ht="15.75" hidden="1" thickBot="1">
      <c r="A524" s="45">
        <v>1171</v>
      </c>
      <c r="B524" s="45">
        <v>1172</v>
      </c>
      <c r="C524" s="45">
        <v>1173</v>
      </c>
      <c r="D524" s="123"/>
      <c r="E524" s="123"/>
      <c r="F524" s="123"/>
      <c r="G524" s="127" t="s">
        <v>177</v>
      </c>
      <c r="H524" s="128">
        <v>2006</v>
      </c>
      <c r="I524" s="128" t="s">
        <v>21</v>
      </c>
      <c r="J524" s="128">
        <f t="shared" si="16"/>
        <v>7</v>
      </c>
      <c r="K524" s="128" t="s">
        <v>1557</v>
      </c>
      <c r="L524" s="128" t="s">
        <v>30</v>
      </c>
      <c r="M524" s="129" t="s">
        <v>201</v>
      </c>
      <c r="N524" s="129" t="s">
        <v>28</v>
      </c>
      <c r="O524" s="129" t="s">
        <v>28</v>
      </c>
      <c r="P524" s="129" t="str">
        <f t="shared" si="17"/>
        <v>N/A</v>
      </c>
      <c r="Q524" s="130"/>
      <c r="R524" s="128">
        <v>17.14</v>
      </c>
      <c r="S524" s="130"/>
      <c r="T524" s="130"/>
      <c r="U524" s="147"/>
    </row>
    <row r="525" spans="1:21" ht="15.75" hidden="1" thickBot="1">
      <c r="A525" s="45">
        <v>1171</v>
      </c>
      <c r="B525" s="45">
        <v>1172</v>
      </c>
      <c r="C525" s="45">
        <v>1173</v>
      </c>
      <c r="D525" s="123"/>
      <c r="E525" s="123"/>
      <c r="F525" s="123"/>
      <c r="G525" s="127" t="s">
        <v>177</v>
      </c>
      <c r="H525" s="128">
        <v>2006</v>
      </c>
      <c r="I525" s="128" t="s">
        <v>21</v>
      </c>
      <c r="J525" s="128">
        <f t="shared" si="16"/>
        <v>7</v>
      </c>
      <c r="K525" s="128" t="s">
        <v>1591</v>
      </c>
      <c r="L525" s="128" t="s">
        <v>30</v>
      </c>
      <c r="M525" s="129" t="s">
        <v>201</v>
      </c>
      <c r="N525" s="129" t="s">
        <v>28</v>
      </c>
      <c r="O525" s="129" t="s">
        <v>28</v>
      </c>
      <c r="P525" s="129" t="str">
        <f t="shared" si="17"/>
        <v>N/A</v>
      </c>
      <c r="Q525" s="128" t="s">
        <v>1592</v>
      </c>
      <c r="R525" s="128">
        <v>11.2</v>
      </c>
      <c r="S525" s="130"/>
      <c r="T525" s="130" t="s">
        <v>1015</v>
      </c>
      <c r="U525" s="147"/>
    </row>
    <row r="526" spans="1:21" ht="15.75" hidden="1" thickBot="1">
      <c r="A526" s="45">
        <v>1171</v>
      </c>
      <c r="B526" s="45">
        <v>1172</v>
      </c>
      <c r="C526" s="45">
        <v>1173</v>
      </c>
      <c r="D526" s="123"/>
      <c r="E526" s="123"/>
      <c r="F526" s="123"/>
      <c r="G526" s="127" t="s">
        <v>177</v>
      </c>
      <c r="H526" s="128">
        <v>2006</v>
      </c>
      <c r="I526" s="128" t="s">
        <v>21</v>
      </c>
      <c r="J526" s="128">
        <f t="shared" si="16"/>
        <v>7</v>
      </c>
      <c r="K526" s="128" t="s">
        <v>192</v>
      </c>
      <c r="L526" s="128" t="s">
        <v>30</v>
      </c>
      <c r="M526" s="129" t="s">
        <v>31</v>
      </c>
      <c r="N526" s="129" t="s">
        <v>32</v>
      </c>
      <c r="O526" s="129" t="s">
        <v>32</v>
      </c>
      <c r="P526" s="129" t="str">
        <f t="shared" si="17"/>
        <v>Y</v>
      </c>
      <c r="Q526" s="130"/>
      <c r="R526" s="128">
        <v>21.58</v>
      </c>
      <c r="S526" s="130"/>
      <c r="T526" s="130"/>
      <c r="U526" s="147"/>
    </row>
    <row r="527" spans="1:21" ht="15.75" hidden="1" thickBot="1">
      <c r="A527" s="45">
        <v>1171</v>
      </c>
      <c r="B527" s="45">
        <v>1172</v>
      </c>
      <c r="C527" s="45">
        <v>1173</v>
      </c>
      <c r="D527" s="123"/>
      <c r="E527" s="123"/>
      <c r="F527" s="123"/>
      <c r="G527" s="127" t="s">
        <v>177</v>
      </c>
      <c r="H527" s="128">
        <v>2006</v>
      </c>
      <c r="I527" s="128" t="s">
        <v>21</v>
      </c>
      <c r="J527" s="128">
        <f t="shared" si="16"/>
        <v>7</v>
      </c>
      <c r="K527" s="128" t="s">
        <v>196</v>
      </c>
      <c r="L527" s="128" t="s">
        <v>40</v>
      </c>
      <c r="M527" s="129" t="s">
        <v>1065</v>
      </c>
      <c r="N527" s="129" t="s">
        <v>32</v>
      </c>
      <c r="O527" s="129" t="s">
        <v>28</v>
      </c>
      <c r="P527" s="129" t="str">
        <f t="shared" si="17"/>
        <v>N/A</v>
      </c>
      <c r="Q527" s="130"/>
      <c r="R527" s="128">
        <v>18.260000000000002</v>
      </c>
      <c r="S527" s="130"/>
      <c r="T527" s="130"/>
      <c r="U527" s="147"/>
    </row>
    <row r="528" spans="1:21" ht="15.75" hidden="1" thickBot="1">
      <c r="A528" s="45">
        <v>1171</v>
      </c>
      <c r="B528" s="45">
        <v>1172</v>
      </c>
      <c r="C528" s="45">
        <v>1173</v>
      </c>
      <c r="D528" s="123"/>
      <c r="E528" s="123"/>
      <c r="F528" s="123"/>
      <c r="G528" s="127" t="s">
        <v>177</v>
      </c>
      <c r="H528" s="128">
        <v>2006</v>
      </c>
      <c r="I528" s="128" t="s">
        <v>21</v>
      </c>
      <c r="J528" s="128">
        <f t="shared" si="16"/>
        <v>7</v>
      </c>
      <c r="K528" s="128" t="s">
        <v>197</v>
      </c>
      <c r="L528" s="128" t="s">
        <v>40</v>
      </c>
      <c r="M528" s="129" t="s">
        <v>1065</v>
      </c>
      <c r="N528" s="129" t="s">
        <v>32</v>
      </c>
      <c r="O528" s="129" t="s">
        <v>28</v>
      </c>
      <c r="P528" s="129" t="str">
        <f t="shared" si="17"/>
        <v>N/A</v>
      </c>
      <c r="Q528" s="130"/>
      <c r="R528" s="128">
        <v>20.97</v>
      </c>
      <c r="S528" s="130"/>
      <c r="T528" s="130"/>
      <c r="U528" s="147" t="s">
        <v>1593</v>
      </c>
    </row>
    <row r="529" spans="1:21" ht="15.75" thickBot="1">
      <c r="A529" s="45">
        <v>1171</v>
      </c>
      <c r="B529" s="45">
        <v>1172</v>
      </c>
      <c r="C529" s="45">
        <v>1173</v>
      </c>
      <c r="D529" s="123"/>
      <c r="E529" s="123"/>
      <c r="F529" s="123"/>
      <c r="G529" s="127" t="s">
        <v>177</v>
      </c>
      <c r="H529" s="128">
        <v>2006</v>
      </c>
      <c r="I529" s="128" t="s">
        <v>21</v>
      </c>
      <c r="J529" s="128">
        <f t="shared" si="16"/>
        <v>7</v>
      </c>
      <c r="K529" s="128" t="s">
        <v>205</v>
      </c>
      <c r="L529" s="128" t="s">
        <v>30</v>
      </c>
      <c r="M529" s="129" t="s">
        <v>201</v>
      </c>
      <c r="N529" s="129" t="s">
        <v>28</v>
      </c>
      <c r="O529" s="129" t="s">
        <v>32</v>
      </c>
      <c r="P529" s="129" t="str">
        <f t="shared" si="17"/>
        <v>N</v>
      </c>
      <c r="Q529" s="128" t="s">
        <v>1004</v>
      </c>
      <c r="R529" s="128">
        <v>10.86</v>
      </c>
      <c r="S529" s="130"/>
      <c r="T529" s="130"/>
      <c r="U529" s="147"/>
    </row>
    <row r="530" spans="1:21" ht="15.75" thickBot="1">
      <c r="A530" s="45">
        <v>1171</v>
      </c>
      <c r="B530" s="45">
        <v>1172</v>
      </c>
      <c r="C530" s="45">
        <v>1173</v>
      </c>
      <c r="D530" s="123"/>
      <c r="E530" s="123"/>
      <c r="F530" s="123"/>
      <c r="G530" s="127" t="s">
        <v>177</v>
      </c>
      <c r="H530" s="128">
        <v>2006</v>
      </c>
      <c r="I530" s="128" t="s">
        <v>185</v>
      </c>
      <c r="J530" s="128">
        <f t="shared" si="16"/>
        <v>7</v>
      </c>
      <c r="K530" s="128" t="s">
        <v>198</v>
      </c>
      <c r="L530" s="128" t="s">
        <v>30</v>
      </c>
      <c r="M530" s="129" t="s">
        <v>201</v>
      </c>
      <c r="N530" s="129" t="s">
        <v>32</v>
      </c>
      <c r="O530" s="129"/>
      <c r="P530" s="129" t="str">
        <f t="shared" si="17"/>
        <v/>
      </c>
      <c r="Q530" s="128" t="s">
        <v>1594</v>
      </c>
      <c r="R530" s="128">
        <v>100</v>
      </c>
      <c r="S530" s="130"/>
      <c r="T530" s="130" t="s">
        <v>998</v>
      </c>
      <c r="U530" s="147"/>
    </row>
    <row r="531" spans="1:21" ht="15.75" hidden="1" thickBot="1">
      <c r="A531" s="45">
        <v>1167</v>
      </c>
      <c r="B531" s="45">
        <v>1168</v>
      </c>
      <c r="C531" s="45">
        <v>1169</v>
      </c>
      <c r="D531" s="123"/>
      <c r="E531" s="123"/>
      <c r="F531" s="123"/>
      <c r="G531" s="127" t="s">
        <v>177</v>
      </c>
      <c r="H531" s="128">
        <v>2008</v>
      </c>
      <c r="I531" s="128" t="s">
        <v>21</v>
      </c>
      <c r="J531" s="128">
        <f t="shared" si="16"/>
        <v>10</v>
      </c>
      <c r="K531" s="128" t="s">
        <v>1595</v>
      </c>
      <c r="L531" s="128" t="s">
        <v>30</v>
      </c>
      <c r="M531" s="129" t="s">
        <v>31</v>
      </c>
      <c r="N531" s="129" t="s">
        <v>28</v>
      </c>
      <c r="O531" s="129" t="s">
        <v>28</v>
      </c>
      <c r="P531" s="129" t="str">
        <f t="shared" si="17"/>
        <v>N/A</v>
      </c>
      <c r="Q531" s="128" t="s">
        <v>1596</v>
      </c>
      <c r="R531" s="128">
        <v>2.37</v>
      </c>
      <c r="S531" s="130"/>
      <c r="T531" s="130" t="s">
        <v>31</v>
      </c>
      <c r="U531" s="147" t="s">
        <v>1597</v>
      </c>
    </row>
    <row r="532" spans="1:21" ht="15.75" hidden="1" thickBot="1">
      <c r="A532" s="45">
        <v>1167</v>
      </c>
      <c r="B532" s="45">
        <v>1168</v>
      </c>
      <c r="C532" s="45">
        <v>1169</v>
      </c>
      <c r="D532" s="123"/>
      <c r="E532" s="123"/>
      <c r="F532" s="123"/>
      <c r="G532" s="127" t="s">
        <v>177</v>
      </c>
      <c r="H532" s="128">
        <v>2008</v>
      </c>
      <c r="I532" s="128" t="s">
        <v>21</v>
      </c>
      <c r="J532" s="128">
        <f t="shared" si="16"/>
        <v>10</v>
      </c>
      <c r="K532" s="128" t="s">
        <v>1557</v>
      </c>
      <c r="L532" s="128" t="s">
        <v>30</v>
      </c>
      <c r="M532" s="129" t="s">
        <v>201</v>
      </c>
      <c r="N532" s="129" t="s">
        <v>28</v>
      </c>
      <c r="O532" s="129" t="s">
        <v>28</v>
      </c>
      <c r="P532" s="129" t="str">
        <f t="shared" si="17"/>
        <v>N/A</v>
      </c>
      <c r="Q532" s="130"/>
      <c r="R532" s="128">
        <v>9.8000000000000007</v>
      </c>
      <c r="S532" s="130"/>
      <c r="T532" s="130"/>
      <c r="U532" s="147"/>
    </row>
    <row r="533" spans="1:21" ht="26.25" thickBot="1">
      <c r="A533" s="45">
        <v>1167</v>
      </c>
      <c r="B533" s="45">
        <v>1168</v>
      </c>
      <c r="C533" s="45">
        <v>1169</v>
      </c>
      <c r="D533" s="123"/>
      <c r="E533" s="123"/>
      <c r="F533" s="123"/>
      <c r="G533" s="127" t="s">
        <v>177</v>
      </c>
      <c r="H533" s="128">
        <v>2008</v>
      </c>
      <c r="I533" s="128" t="s">
        <v>21</v>
      </c>
      <c r="J533" s="128">
        <f t="shared" si="16"/>
        <v>10</v>
      </c>
      <c r="K533" s="128" t="s">
        <v>1598</v>
      </c>
      <c r="L533" s="128" t="s">
        <v>30</v>
      </c>
      <c r="M533" s="129" t="s">
        <v>34</v>
      </c>
      <c r="N533" s="129" t="s">
        <v>28</v>
      </c>
      <c r="O533" s="129" t="s">
        <v>32</v>
      </c>
      <c r="P533" s="129" t="str">
        <f t="shared" si="17"/>
        <v>N</v>
      </c>
      <c r="Q533" s="128" t="s">
        <v>1599</v>
      </c>
      <c r="R533" s="128">
        <v>7.63</v>
      </c>
      <c r="S533" s="130"/>
      <c r="T533" s="130" t="s">
        <v>1051</v>
      </c>
      <c r="U533" s="147"/>
    </row>
    <row r="534" spans="1:21" ht="15.75" hidden="1" thickBot="1">
      <c r="A534" s="45">
        <v>1167</v>
      </c>
      <c r="B534" s="45">
        <v>1168</v>
      </c>
      <c r="C534" s="45">
        <v>1169</v>
      </c>
      <c r="D534" s="123"/>
      <c r="E534" s="123"/>
      <c r="F534" s="123"/>
      <c r="G534" s="127" t="s">
        <v>177</v>
      </c>
      <c r="H534" s="128">
        <v>2008</v>
      </c>
      <c r="I534" s="128" t="s">
        <v>21</v>
      </c>
      <c r="J534" s="128">
        <f t="shared" si="16"/>
        <v>10</v>
      </c>
      <c r="K534" s="128" t="s">
        <v>193</v>
      </c>
      <c r="L534" s="128" t="s">
        <v>30</v>
      </c>
      <c r="M534" s="129" t="s">
        <v>31</v>
      </c>
      <c r="N534" s="129" t="s">
        <v>32</v>
      </c>
      <c r="O534" s="129" t="s">
        <v>28</v>
      </c>
      <c r="P534" s="129" t="str">
        <f t="shared" si="17"/>
        <v>N/A</v>
      </c>
      <c r="Q534" s="128" t="s">
        <v>1600</v>
      </c>
      <c r="R534" s="128">
        <v>16.2</v>
      </c>
      <c r="S534" s="130"/>
      <c r="T534" s="130" t="s">
        <v>31</v>
      </c>
      <c r="U534" s="147" t="s">
        <v>1601</v>
      </c>
    </row>
    <row r="535" spans="1:21" ht="15.75" thickBot="1">
      <c r="A535" s="45">
        <v>1167</v>
      </c>
      <c r="B535" s="45">
        <v>1168</v>
      </c>
      <c r="C535" s="45">
        <v>1169</v>
      </c>
      <c r="D535" s="123"/>
      <c r="E535" s="123"/>
      <c r="F535" s="123"/>
      <c r="G535" s="127" t="s">
        <v>177</v>
      </c>
      <c r="H535" s="128">
        <v>2008</v>
      </c>
      <c r="I535" s="128" t="s">
        <v>21</v>
      </c>
      <c r="J535" s="128">
        <f t="shared" si="16"/>
        <v>10</v>
      </c>
      <c r="K535" s="128" t="s">
        <v>200</v>
      </c>
      <c r="L535" s="128" t="s">
        <v>30</v>
      </c>
      <c r="M535" s="129" t="s">
        <v>1065</v>
      </c>
      <c r="N535" s="129" t="s">
        <v>28</v>
      </c>
      <c r="O535" s="129" t="s">
        <v>32</v>
      </c>
      <c r="P535" s="129" t="str">
        <f t="shared" si="17"/>
        <v>N</v>
      </c>
      <c r="Q535" s="128" t="s">
        <v>1602</v>
      </c>
      <c r="R535" s="128">
        <v>12.8</v>
      </c>
      <c r="S535" s="130"/>
      <c r="T535" s="130"/>
      <c r="U535" s="147" t="s">
        <v>1603</v>
      </c>
    </row>
    <row r="536" spans="1:21" ht="15.75" hidden="1" thickBot="1">
      <c r="A536" s="45">
        <v>1167</v>
      </c>
      <c r="B536" s="45">
        <v>1168</v>
      </c>
      <c r="C536" s="45">
        <v>1169</v>
      </c>
      <c r="D536" s="123"/>
      <c r="E536" s="123"/>
      <c r="F536" s="123"/>
      <c r="G536" s="127" t="s">
        <v>177</v>
      </c>
      <c r="H536" s="128">
        <v>2008</v>
      </c>
      <c r="I536" s="128" t="s">
        <v>21</v>
      </c>
      <c r="J536" s="128">
        <f t="shared" si="16"/>
        <v>10</v>
      </c>
      <c r="K536" s="128" t="s">
        <v>184</v>
      </c>
      <c r="L536" s="128" t="s">
        <v>40</v>
      </c>
      <c r="M536" s="129" t="s">
        <v>1604</v>
      </c>
      <c r="N536" s="129" t="s">
        <v>28</v>
      </c>
      <c r="O536" s="129" t="s">
        <v>28</v>
      </c>
      <c r="P536" s="129" t="str">
        <f t="shared" si="17"/>
        <v>N/A</v>
      </c>
      <c r="Q536" s="130"/>
      <c r="R536" s="128">
        <v>14.75</v>
      </c>
      <c r="S536" s="130"/>
      <c r="T536" s="130"/>
      <c r="U536" s="147"/>
    </row>
    <row r="537" spans="1:21" ht="15.75" hidden="1" thickBot="1">
      <c r="A537" s="45">
        <v>1167</v>
      </c>
      <c r="B537" s="45">
        <v>1168</v>
      </c>
      <c r="C537" s="45">
        <v>1169</v>
      </c>
      <c r="D537" s="123"/>
      <c r="E537" s="123"/>
      <c r="F537" s="123"/>
      <c r="G537" s="127" t="s">
        <v>177</v>
      </c>
      <c r="H537" s="128">
        <v>2008</v>
      </c>
      <c r="I537" s="128" t="s">
        <v>21</v>
      </c>
      <c r="J537" s="128">
        <f t="shared" si="16"/>
        <v>10</v>
      </c>
      <c r="K537" s="128" t="s">
        <v>195</v>
      </c>
      <c r="L537" s="128" t="s">
        <v>30</v>
      </c>
      <c r="M537" s="129" t="s">
        <v>201</v>
      </c>
      <c r="N537" s="129" t="s">
        <v>32</v>
      </c>
      <c r="O537" s="129" t="s">
        <v>32</v>
      </c>
      <c r="P537" s="129" t="str">
        <f t="shared" si="17"/>
        <v>Y</v>
      </c>
      <c r="Q537" s="132" t="s">
        <v>1605</v>
      </c>
      <c r="R537" s="128">
        <v>15.37</v>
      </c>
      <c r="S537" s="130"/>
      <c r="T537" s="130" t="s">
        <v>998</v>
      </c>
      <c r="U537" s="147"/>
    </row>
    <row r="538" spans="1:21" ht="15.75" hidden="1" thickBot="1">
      <c r="A538" s="45">
        <v>1167</v>
      </c>
      <c r="B538" s="45">
        <v>1168</v>
      </c>
      <c r="C538" s="45">
        <v>1169</v>
      </c>
      <c r="D538" s="123"/>
      <c r="E538" s="123"/>
      <c r="F538" s="123"/>
      <c r="G538" s="127" t="s">
        <v>177</v>
      </c>
      <c r="H538" s="128">
        <v>2008</v>
      </c>
      <c r="I538" s="128" t="s">
        <v>21</v>
      </c>
      <c r="J538" s="128">
        <f t="shared" si="16"/>
        <v>10</v>
      </c>
      <c r="K538" s="128" t="s">
        <v>1606</v>
      </c>
      <c r="L538" s="128" t="s">
        <v>30</v>
      </c>
      <c r="M538" s="129" t="s">
        <v>1607</v>
      </c>
      <c r="N538" s="129" t="s">
        <v>28</v>
      </c>
      <c r="O538" s="129" t="s">
        <v>28</v>
      </c>
      <c r="P538" s="129" t="str">
        <f t="shared" si="17"/>
        <v>N/A</v>
      </c>
      <c r="Q538" s="128" t="s">
        <v>1608</v>
      </c>
      <c r="R538" s="128">
        <v>1.99</v>
      </c>
      <c r="S538" s="130"/>
      <c r="T538" s="130"/>
      <c r="U538" s="147"/>
    </row>
    <row r="539" spans="1:21" ht="15.75" hidden="1" thickBot="1">
      <c r="A539" s="45">
        <v>1167</v>
      </c>
      <c r="B539" s="45">
        <v>1168</v>
      </c>
      <c r="C539" s="45">
        <v>1169</v>
      </c>
      <c r="D539" s="123"/>
      <c r="E539" s="123"/>
      <c r="F539" s="123"/>
      <c r="G539" s="127" t="s">
        <v>177</v>
      </c>
      <c r="H539" s="128">
        <v>2008</v>
      </c>
      <c r="I539" s="128" t="s">
        <v>21</v>
      </c>
      <c r="J539" s="128">
        <f t="shared" si="16"/>
        <v>10</v>
      </c>
      <c r="K539" s="128" t="s">
        <v>1609</v>
      </c>
      <c r="L539" s="128" t="s">
        <v>30</v>
      </c>
      <c r="M539" s="129" t="s">
        <v>31</v>
      </c>
      <c r="N539" s="129" t="s">
        <v>28</v>
      </c>
      <c r="O539" s="129" t="s">
        <v>28</v>
      </c>
      <c r="P539" s="129" t="str">
        <f t="shared" si="17"/>
        <v>N/A</v>
      </c>
      <c r="Q539" s="128" t="s">
        <v>1610</v>
      </c>
      <c r="R539" s="128">
        <v>3.54</v>
      </c>
      <c r="S539" s="130"/>
      <c r="T539" s="130" t="s">
        <v>31</v>
      </c>
      <c r="U539" s="147"/>
    </row>
    <row r="540" spans="1:21" ht="15.75" hidden="1" thickBot="1">
      <c r="A540" s="45">
        <v>1167</v>
      </c>
      <c r="B540" s="45">
        <v>1168</v>
      </c>
      <c r="C540" s="45">
        <v>1169</v>
      </c>
      <c r="D540" s="123"/>
      <c r="E540" s="123"/>
      <c r="F540" s="123"/>
      <c r="G540" s="127" t="s">
        <v>177</v>
      </c>
      <c r="H540" s="128">
        <v>2008</v>
      </c>
      <c r="I540" s="128" t="s">
        <v>21</v>
      </c>
      <c r="J540" s="128">
        <f t="shared" si="16"/>
        <v>10</v>
      </c>
      <c r="K540" s="128" t="s">
        <v>187</v>
      </c>
      <c r="L540" s="128" t="s">
        <v>30</v>
      </c>
      <c r="M540" s="129" t="s">
        <v>31</v>
      </c>
      <c r="N540" s="129" t="s">
        <v>32</v>
      </c>
      <c r="O540" s="129" t="s">
        <v>32</v>
      </c>
      <c r="P540" s="129" t="str">
        <f t="shared" si="17"/>
        <v>Y</v>
      </c>
      <c r="Q540" s="130"/>
      <c r="R540" s="128">
        <v>15.36</v>
      </c>
      <c r="S540" s="130"/>
      <c r="T540" s="130"/>
      <c r="U540" s="147"/>
    </row>
    <row r="541" spans="1:21" ht="15.75" hidden="1" thickBot="1">
      <c r="A541" s="45">
        <v>1163</v>
      </c>
      <c r="B541" s="45">
        <v>1164</v>
      </c>
      <c r="C541" s="45">
        <v>1165</v>
      </c>
      <c r="D541" s="123"/>
      <c r="E541" s="123"/>
      <c r="F541" s="123"/>
      <c r="G541" s="127" t="s">
        <v>177</v>
      </c>
      <c r="H541" s="128">
        <v>2010</v>
      </c>
      <c r="I541" s="128" t="s">
        <v>21</v>
      </c>
      <c r="J541" s="128">
        <f t="shared" si="16"/>
        <v>10</v>
      </c>
      <c r="K541" s="128" t="s">
        <v>1557</v>
      </c>
      <c r="L541" s="128" t="s">
        <v>30</v>
      </c>
      <c r="M541" s="129" t="s">
        <v>201</v>
      </c>
      <c r="N541" s="129" t="s">
        <v>32</v>
      </c>
      <c r="O541" s="129" t="s">
        <v>28</v>
      </c>
      <c r="P541" s="129" t="str">
        <f t="shared" si="17"/>
        <v>N/A</v>
      </c>
      <c r="Q541" s="130"/>
      <c r="R541" s="128">
        <v>14.51</v>
      </c>
      <c r="S541" s="130"/>
      <c r="T541" s="130"/>
      <c r="U541" s="147"/>
    </row>
    <row r="542" spans="1:21" ht="15.75" hidden="1" thickBot="1">
      <c r="A542" s="45">
        <v>1163</v>
      </c>
      <c r="B542" s="45">
        <v>1164</v>
      </c>
      <c r="C542" s="45">
        <v>1165</v>
      </c>
      <c r="D542" s="123"/>
      <c r="E542" s="123"/>
      <c r="F542" s="123"/>
      <c r="G542" s="127" t="s">
        <v>177</v>
      </c>
      <c r="H542" s="128">
        <v>2010</v>
      </c>
      <c r="I542" s="128" t="s">
        <v>21</v>
      </c>
      <c r="J542" s="128">
        <f t="shared" si="16"/>
        <v>10</v>
      </c>
      <c r="K542" s="128" t="s">
        <v>181</v>
      </c>
      <c r="L542" s="128" t="s">
        <v>30</v>
      </c>
      <c r="M542" s="129" t="s">
        <v>1065</v>
      </c>
      <c r="N542" s="129" t="s">
        <v>28</v>
      </c>
      <c r="O542" s="129" t="s">
        <v>28</v>
      </c>
      <c r="P542" s="129" t="str">
        <f t="shared" si="17"/>
        <v>N/A</v>
      </c>
      <c r="Q542" s="128" t="s">
        <v>1611</v>
      </c>
      <c r="R542" s="128">
        <v>10.78</v>
      </c>
      <c r="S542" s="130"/>
      <c r="T542" s="130"/>
      <c r="U542" s="147"/>
    </row>
    <row r="543" spans="1:21" ht="15.75" hidden="1" thickBot="1">
      <c r="A543" s="45">
        <v>1163</v>
      </c>
      <c r="B543" s="45">
        <v>1164</v>
      </c>
      <c r="C543" s="45">
        <v>1165</v>
      </c>
      <c r="D543" s="123"/>
      <c r="E543" s="123"/>
      <c r="F543" s="123"/>
      <c r="G543" s="127" t="s">
        <v>177</v>
      </c>
      <c r="H543" s="128">
        <v>2010</v>
      </c>
      <c r="I543" s="128" t="s">
        <v>21</v>
      </c>
      <c r="J543" s="128">
        <f t="shared" si="16"/>
        <v>10</v>
      </c>
      <c r="K543" s="128" t="s">
        <v>188</v>
      </c>
      <c r="L543" s="128" t="s">
        <v>30</v>
      </c>
      <c r="M543" s="129" t="s">
        <v>201</v>
      </c>
      <c r="N543" s="129" t="s">
        <v>28</v>
      </c>
      <c r="O543" s="129" t="s">
        <v>28</v>
      </c>
      <c r="P543" s="129" t="str">
        <f t="shared" si="17"/>
        <v>N/A</v>
      </c>
      <c r="Q543" s="130"/>
      <c r="R543" s="128">
        <v>7.47</v>
      </c>
      <c r="S543" s="130"/>
      <c r="T543" s="130"/>
      <c r="U543" s="147"/>
    </row>
    <row r="544" spans="1:21" ht="15.75" hidden="1" thickBot="1">
      <c r="A544" s="45">
        <v>1163</v>
      </c>
      <c r="B544" s="45">
        <v>1164</v>
      </c>
      <c r="C544" s="45">
        <v>1165</v>
      </c>
      <c r="D544" s="123"/>
      <c r="E544" s="123"/>
      <c r="F544" s="123"/>
      <c r="G544" s="127" t="s">
        <v>177</v>
      </c>
      <c r="H544" s="128">
        <v>2010</v>
      </c>
      <c r="I544" s="128" t="s">
        <v>21</v>
      </c>
      <c r="J544" s="128">
        <f t="shared" si="16"/>
        <v>10</v>
      </c>
      <c r="K544" s="128" t="s">
        <v>1612</v>
      </c>
      <c r="L544" s="128" t="s">
        <v>30</v>
      </c>
      <c r="M544" s="129" t="s">
        <v>34</v>
      </c>
      <c r="N544" s="129" t="s">
        <v>28</v>
      </c>
      <c r="O544" s="129" t="s">
        <v>28</v>
      </c>
      <c r="P544" s="129" t="str">
        <f t="shared" si="17"/>
        <v>N/A</v>
      </c>
      <c r="Q544" s="128" t="s">
        <v>1613</v>
      </c>
      <c r="R544" s="128">
        <v>2.2799999999999998</v>
      </c>
      <c r="S544" s="130"/>
      <c r="T544" s="130" t="s">
        <v>1614</v>
      </c>
      <c r="U544" s="147" t="s">
        <v>1613</v>
      </c>
    </row>
    <row r="545" spans="1:21" ht="15.75" hidden="1" thickBot="1">
      <c r="A545" s="45">
        <v>1163</v>
      </c>
      <c r="B545" s="45">
        <v>1164</v>
      </c>
      <c r="C545" s="45">
        <v>1165</v>
      </c>
      <c r="D545" s="123"/>
      <c r="E545" s="123"/>
      <c r="F545" s="123"/>
      <c r="G545" s="127" t="s">
        <v>177</v>
      </c>
      <c r="H545" s="128">
        <v>2010</v>
      </c>
      <c r="I545" s="128" t="s">
        <v>21</v>
      </c>
      <c r="J545" s="128">
        <f t="shared" si="16"/>
        <v>10</v>
      </c>
      <c r="K545" s="128" t="s">
        <v>192</v>
      </c>
      <c r="L545" s="128" t="s">
        <v>30</v>
      </c>
      <c r="M545" s="129" t="s">
        <v>31</v>
      </c>
      <c r="N545" s="129" t="s">
        <v>32</v>
      </c>
      <c r="O545" s="129" t="s">
        <v>32</v>
      </c>
      <c r="P545" s="129" t="str">
        <f t="shared" si="17"/>
        <v>Y</v>
      </c>
      <c r="Q545" s="130"/>
      <c r="R545" s="128">
        <v>14.28</v>
      </c>
      <c r="S545" s="130"/>
      <c r="T545" s="130" t="s">
        <v>31</v>
      </c>
      <c r="U545" s="147"/>
    </row>
    <row r="546" spans="1:21" ht="15.75" hidden="1" thickBot="1">
      <c r="A546" s="45">
        <v>1163</v>
      </c>
      <c r="B546" s="45">
        <v>1164</v>
      </c>
      <c r="C546" s="45">
        <v>1165</v>
      </c>
      <c r="D546" s="123"/>
      <c r="E546" s="123"/>
      <c r="F546" s="123"/>
      <c r="G546" s="127" t="s">
        <v>177</v>
      </c>
      <c r="H546" s="128">
        <v>2010</v>
      </c>
      <c r="I546" s="128" t="s">
        <v>21</v>
      </c>
      <c r="J546" s="128">
        <f t="shared" si="16"/>
        <v>10</v>
      </c>
      <c r="K546" s="128" t="s">
        <v>184</v>
      </c>
      <c r="L546" s="128" t="s">
        <v>40</v>
      </c>
      <c r="M546" s="129" t="s">
        <v>1604</v>
      </c>
      <c r="N546" s="129" t="s">
        <v>32</v>
      </c>
      <c r="O546" s="129" t="s">
        <v>28</v>
      </c>
      <c r="P546" s="129" t="str">
        <f t="shared" si="17"/>
        <v>N/A</v>
      </c>
      <c r="Q546" s="130"/>
      <c r="R546" s="128">
        <v>13.36</v>
      </c>
      <c r="S546" s="130"/>
      <c r="T546" s="130"/>
      <c r="U546" s="147"/>
    </row>
    <row r="547" spans="1:21" ht="26.25" hidden="1" thickBot="1">
      <c r="A547" s="45">
        <v>1163</v>
      </c>
      <c r="B547" s="45">
        <v>1164</v>
      </c>
      <c r="C547" s="45">
        <v>1165</v>
      </c>
      <c r="D547" s="123"/>
      <c r="E547" s="123"/>
      <c r="F547" s="123"/>
      <c r="G547" s="127" t="s">
        <v>177</v>
      </c>
      <c r="H547" s="128">
        <v>2010</v>
      </c>
      <c r="I547" s="128" t="s">
        <v>21</v>
      </c>
      <c r="J547" s="128">
        <f t="shared" si="16"/>
        <v>10</v>
      </c>
      <c r="K547" s="128" t="s">
        <v>1615</v>
      </c>
      <c r="L547" s="128" t="s">
        <v>40</v>
      </c>
      <c r="M547" s="129" t="s">
        <v>1065</v>
      </c>
      <c r="N547" s="129" t="s">
        <v>28</v>
      </c>
      <c r="O547" s="129" t="s">
        <v>28</v>
      </c>
      <c r="P547" s="129" t="str">
        <f t="shared" si="17"/>
        <v>N/A</v>
      </c>
      <c r="Q547" s="128" t="s">
        <v>1616</v>
      </c>
      <c r="R547" s="128">
        <v>11.19</v>
      </c>
      <c r="S547" s="130"/>
      <c r="T547" s="130" t="s">
        <v>1617</v>
      </c>
      <c r="U547" s="147"/>
    </row>
    <row r="548" spans="1:21" ht="15.75" thickBot="1">
      <c r="A548" s="45">
        <v>1163</v>
      </c>
      <c r="B548" s="45">
        <v>1164</v>
      </c>
      <c r="C548" s="45">
        <v>1165</v>
      </c>
      <c r="D548" s="123"/>
      <c r="E548" s="123"/>
      <c r="F548" s="123"/>
      <c r="G548" s="127" t="s">
        <v>177</v>
      </c>
      <c r="H548" s="128">
        <v>2010</v>
      </c>
      <c r="I548" s="128" t="s">
        <v>21</v>
      </c>
      <c r="J548" s="128">
        <f t="shared" si="16"/>
        <v>10</v>
      </c>
      <c r="K548" s="128" t="s">
        <v>1618</v>
      </c>
      <c r="L548" s="128" t="s">
        <v>40</v>
      </c>
      <c r="M548" s="129" t="s">
        <v>1065</v>
      </c>
      <c r="N548" s="129" t="s">
        <v>28</v>
      </c>
      <c r="O548" s="129" t="s">
        <v>32</v>
      </c>
      <c r="P548" s="129" t="str">
        <f t="shared" si="17"/>
        <v>N</v>
      </c>
      <c r="Q548" s="128" t="s">
        <v>1619</v>
      </c>
      <c r="R548" s="128">
        <v>11.79</v>
      </c>
      <c r="S548" s="130"/>
      <c r="T548" s="130" t="s">
        <v>1015</v>
      </c>
      <c r="U548" s="147"/>
    </row>
    <row r="549" spans="1:21" ht="15.75" hidden="1" thickBot="1">
      <c r="A549" s="45">
        <v>1163</v>
      </c>
      <c r="B549" s="45">
        <v>1164</v>
      </c>
      <c r="C549" s="45">
        <v>1165</v>
      </c>
      <c r="D549" s="123"/>
      <c r="E549" s="123"/>
      <c r="F549" s="123"/>
      <c r="G549" s="127" t="s">
        <v>177</v>
      </c>
      <c r="H549" s="128">
        <v>2010</v>
      </c>
      <c r="I549" s="128" t="s">
        <v>21</v>
      </c>
      <c r="J549" s="128">
        <f t="shared" si="16"/>
        <v>10</v>
      </c>
      <c r="K549" s="128" t="s">
        <v>1620</v>
      </c>
      <c r="L549" s="128" t="s">
        <v>40</v>
      </c>
      <c r="M549" s="129" t="s">
        <v>201</v>
      </c>
      <c r="N549" s="129" t="s">
        <v>28</v>
      </c>
      <c r="O549" s="129" t="s">
        <v>28</v>
      </c>
      <c r="P549" s="129" t="str">
        <f t="shared" si="17"/>
        <v>N/A</v>
      </c>
      <c r="Q549" s="128" t="s">
        <v>1621</v>
      </c>
      <c r="R549" s="128">
        <v>9.3699999999999992</v>
      </c>
      <c r="S549" s="130"/>
      <c r="T549" s="130" t="s">
        <v>998</v>
      </c>
      <c r="U549" s="147" t="s">
        <v>1622</v>
      </c>
    </row>
    <row r="550" spans="1:21" ht="15.75" hidden="1" thickBot="1">
      <c r="A550" s="45">
        <v>1163</v>
      </c>
      <c r="B550" s="45">
        <v>1164</v>
      </c>
      <c r="C550" s="45">
        <v>1165</v>
      </c>
      <c r="D550" s="123"/>
      <c r="E550" s="123"/>
      <c r="F550" s="123"/>
      <c r="G550" s="127" t="s">
        <v>177</v>
      </c>
      <c r="H550" s="128">
        <v>2010</v>
      </c>
      <c r="I550" s="128" t="s">
        <v>21</v>
      </c>
      <c r="J550" s="128">
        <f t="shared" si="16"/>
        <v>10</v>
      </c>
      <c r="K550" s="128" t="s">
        <v>1623</v>
      </c>
      <c r="L550" s="128" t="s">
        <v>40</v>
      </c>
      <c r="M550" s="129" t="s">
        <v>31</v>
      </c>
      <c r="N550" s="129" t="s">
        <v>28</v>
      </c>
      <c r="O550" s="129" t="s">
        <v>28</v>
      </c>
      <c r="P550" s="129" t="str">
        <f t="shared" si="17"/>
        <v>N/A</v>
      </c>
      <c r="Q550" s="128" t="s">
        <v>1624</v>
      </c>
      <c r="R550" s="128">
        <v>4.87</v>
      </c>
      <c r="S550" s="130"/>
      <c r="T550" s="130" t="s">
        <v>31</v>
      </c>
      <c r="U550" s="147" t="s">
        <v>1624</v>
      </c>
    </row>
    <row r="551" spans="1:21" ht="15.75" hidden="1" thickBot="1">
      <c r="A551" s="45">
        <v>1166</v>
      </c>
      <c r="B551" s="123"/>
      <c r="C551" s="123"/>
      <c r="D551" s="123"/>
      <c r="E551" s="123"/>
      <c r="F551" s="123"/>
      <c r="G551" s="127" t="s">
        <v>177</v>
      </c>
      <c r="H551" s="128">
        <v>2010</v>
      </c>
      <c r="I551" s="128" t="s">
        <v>38</v>
      </c>
      <c r="J551" s="128">
        <f t="shared" si="16"/>
        <v>3</v>
      </c>
      <c r="K551" s="128" t="s">
        <v>183</v>
      </c>
      <c r="L551" s="128" t="s">
        <v>40</v>
      </c>
      <c r="M551" s="129" t="s">
        <v>31</v>
      </c>
      <c r="N551" s="129" t="s">
        <v>32</v>
      </c>
      <c r="O551" s="129" t="s">
        <v>32</v>
      </c>
      <c r="P551" s="129" t="str">
        <f t="shared" si="17"/>
        <v>Y</v>
      </c>
      <c r="Q551" s="130"/>
      <c r="R551" s="128">
        <v>41.58</v>
      </c>
      <c r="S551" s="130"/>
      <c r="T551" s="130" t="s">
        <v>31</v>
      </c>
      <c r="U551" s="147"/>
    </row>
    <row r="552" spans="1:21" ht="15.75" hidden="1" thickBot="1">
      <c r="A552" s="45">
        <v>1166</v>
      </c>
      <c r="B552" s="123"/>
      <c r="C552" s="123"/>
      <c r="D552" s="123"/>
      <c r="E552" s="123"/>
      <c r="F552" s="123"/>
      <c r="G552" s="127" t="s">
        <v>177</v>
      </c>
      <c r="H552" s="128">
        <v>2010</v>
      </c>
      <c r="I552" s="128" t="s">
        <v>38</v>
      </c>
      <c r="J552" s="128">
        <f t="shared" si="16"/>
        <v>3</v>
      </c>
      <c r="K552" s="128" t="s">
        <v>1625</v>
      </c>
      <c r="L552" s="128" t="s">
        <v>30</v>
      </c>
      <c r="M552" s="129" t="s">
        <v>31</v>
      </c>
      <c r="N552" s="129" t="s">
        <v>28</v>
      </c>
      <c r="O552" s="129" t="s">
        <v>28</v>
      </c>
      <c r="P552" s="129" t="str">
        <f t="shared" si="17"/>
        <v>N/A</v>
      </c>
      <c r="Q552" s="128" t="s">
        <v>1626</v>
      </c>
      <c r="R552" s="128">
        <v>22.55</v>
      </c>
      <c r="S552" s="130"/>
      <c r="T552" s="130" t="s">
        <v>31</v>
      </c>
      <c r="U552" s="147"/>
    </row>
    <row r="553" spans="1:21" ht="15.75" hidden="1" thickBot="1">
      <c r="A553" s="45">
        <v>1166</v>
      </c>
      <c r="B553" s="123"/>
      <c r="C553" s="123"/>
      <c r="D553" s="123"/>
      <c r="E553" s="123"/>
      <c r="F553" s="123"/>
      <c r="G553" s="127" t="s">
        <v>177</v>
      </c>
      <c r="H553" s="128">
        <v>2010</v>
      </c>
      <c r="I553" s="128" t="s">
        <v>38</v>
      </c>
      <c r="J553" s="128">
        <f t="shared" si="16"/>
        <v>3</v>
      </c>
      <c r="K553" s="128" t="s">
        <v>189</v>
      </c>
      <c r="L553" s="128" t="s">
        <v>30</v>
      </c>
      <c r="M553" s="129" t="s">
        <v>201</v>
      </c>
      <c r="N553" s="129" t="s">
        <v>28</v>
      </c>
      <c r="O553" s="129" t="s">
        <v>28</v>
      </c>
      <c r="P553" s="129" t="str">
        <f t="shared" si="17"/>
        <v>N/A</v>
      </c>
      <c r="Q553" s="130"/>
      <c r="R553" s="128">
        <v>35.65</v>
      </c>
      <c r="S553" s="130"/>
      <c r="T553" s="130"/>
      <c r="U553" s="147"/>
    </row>
    <row r="554" spans="1:21" ht="15.75" hidden="1" thickBot="1">
      <c r="A554" s="45">
        <v>1160</v>
      </c>
      <c r="B554" s="45">
        <v>1161</v>
      </c>
      <c r="C554" s="45">
        <v>1162</v>
      </c>
      <c r="D554" s="123"/>
      <c r="E554" s="123"/>
      <c r="F554" s="123"/>
      <c r="G554" s="127" t="s">
        <v>177</v>
      </c>
      <c r="H554" s="128">
        <v>2012</v>
      </c>
      <c r="I554" s="128" t="s">
        <v>21</v>
      </c>
      <c r="J554" s="128">
        <f t="shared" si="16"/>
        <v>11</v>
      </c>
      <c r="K554" s="128" t="s">
        <v>1627</v>
      </c>
      <c r="L554" s="128" t="s">
        <v>30</v>
      </c>
      <c r="M554" s="129" t="s">
        <v>201</v>
      </c>
      <c r="N554" s="129" t="s">
        <v>28</v>
      </c>
      <c r="O554" s="129" t="s">
        <v>28</v>
      </c>
      <c r="P554" s="129" t="str">
        <f t="shared" si="17"/>
        <v>N/A</v>
      </c>
      <c r="Q554" s="128" t="s">
        <v>1628</v>
      </c>
      <c r="R554" s="128">
        <v>1.39</v>
      </c>
      <c r="S554" s="130"/>
      <c r="T554" s="130" t="s">
        <v>998</v>
      </c>
      <c r="U554" s="147"/>
    </row>
    <row r="555" spans="1:21" ht="15.75" hidden="1" thickBot="1">
      <c r="A555" s="45">
        <v>1160</v>
      </c>
      <c r="B555" s="45">
        <v>1161</v>
      </c>
      <c r="C555" s="45">
        <v>1162</v>
      </c>
      <c r="D555" s="123"/>
      <c r="E555" s="123"/>
      <c r="F555" s="123"/>
      <c r="G555" s="127" t="s">
        <v>177</v>
      </c>
      <c r="H555" s="128">
        <v>2012</v>
      </c>
      <c r="I555" s="128" t="s">
        <v>21</v>
      </c>
      <c r="J555" s="128">
        <f t="shared" si="16"/>
        <v>11</v>
      </c>
      <c r="K555" s="128" t="s">
        <v>1629</v>
      </c>
      <c r="L555" s="128" t="s">
        <v>40</v>
      </c>
      <c r="M555" s="129" t="s">
        <v>31</v>
      </c>
      <c r="N555" s="129" t="s">
        <v>28</v>
      </c>
      <c r="O555" s="129" t="s">
        <v>28</v>
      </c>
      <c r="P555" s="129" t="str">
        <f t="shared" si="17"/>
        <v>N/A</v>
      </c>
      <c r="Q555" s="128" t="s">
        <v>1630</v>
      </c>
      <c r="R555" s="128">
        <v>7.48</v>
      </c>
      <c r="S555" s="130"/>
      <c r="T555" s="130" t="s">
        <v>31</v>
      </c>
      <c r="U555" s="147"/>
    </row>
    <row r="556" spans="1:21" ht="15.75" hidden="1" thickBot="1">
      <c r="A556" s="45">
        <v>1160</v>
      </c>
      <c r="B556" s="45">
        <v>1161</v>
      </c>
      <c r="C556" s="45">
        <v>1162</v>
      </c>
      <c r="D556" s="123"/>
      <c r="E556" s="123"/>
      <c r="F556" s="123"/>
      <c r="G556" s="127" t="s">
        <v>177</v>
      </c>
      <c r="H556" s="128">
        <v>2012</v>
      </c>
      <c r="I556" s="128" t="s">
        <v>21</v>
      </c>
      <c r="J556" s="128">
        <f t="shared" si="16"/>
        <v>11</v>
      </c>
      <c r="K556" s="128" t="s">
        <v>181</v>
      </c>
      <c r="L556" s="128" t="s">
        <v>30</v>
      </c>
      <c r="M556" s="129" t="s">
        <v>1065</v>
      </c>
      <c r="N556" s="129" t="s">
        <v>28</v>
      </c>
      <c r="O556" s="129" t="s">
        <v>28</v>
      </c>
      <c r="P556" s="129" t="str">
        <f t="shared" si="17"/>
        <v>N/A</v>
      </c>
      <c r="Q556" s="128" t="s">
        <v>1611</v>
      </c>
      <c r="R556" s="128">
        <v>14.38</v>
      </c>
      <c r="S556" s="130"/>
      <c r="T556" s="130"/>
      <c r="U556" s="147"/>
    </row>
    <row r="557" spans="1:21" ht="15.75" hidden="1" thickBot="1">
      <c r="A557" s="45">
        <v>1160</v>
      </c>
      <c r="B557" s="45">
        <v>1161</v>
      </c>
      <c r="C557" s="45">
        <v>1162</v>
      </c>
      <c r="D557" s="123"/>
      <c r="E557" s="123"/>
      <c r="F557" s="123"/>
      <c r="G557" s="127" t="s">
        <v>177</v>
      </c>
      <c r="H557" s="128">
        <v>2012</v>
      </c>
      <c r="I557" s="128" t="s">
        <v>21</v>
      </c>
      <c r="J557" s="128">
        <f t="shared" si="16"/>
        <v>11</v>
      </c>
      <c r="K557" s="128" t="s">
        <v>1631</v>
      </c>
      <c r="L557" s="128" t="s">
        <v>40</v>
      </c>
      <c r="M557" s="129" t="s">
        <v>201</v>
      </c>
      <c r="N557" s="129" t="s">
        <v>28</v>
      </c>
      <c r="O557" s="129" t="s">
        <v>28</v>
      </c>
      <c r="P557" s="129" t="str">
        <f t="shared" si="17"/>
        <v>N/A</v>
      </c>
      <c r="Q557" s="128" t="s">
        <v>1632</v>
      </c>
      <c r="R557" s="128">
        <v>6.92</v>
      </c>
      <c r="S557" s="130"/>
      <c r="T557" s="130" t="s">
        <v>998</v>
      </c>
      <c r="U557" s="147"/>
    </row>
    <row r="558" spans="1:21" ht="15.75" hidden="1" thickBot="1">
      <c r="A558" s="45">
        <v>1160</v>
      </c>
      <c r="B558" s="45">
        <v>1161</v>
      </c>
      <c r="C558" s="45">
        <v>1162</v>
      </c>
      <c r="D558" s="123"/>
      <c r="E558" s="123"/>
      <c r="F558" s="123"/>
      <c r="G558" s="127" t="s">
        <v>177</v>
      </c>
      <c r="H558" s="128">
        <v>2012</v>
      </c>
      <c r="I558" s="128" t="s">
        <v>21</v>
      </c>
      <c r="J558" s="128">
        <f t="shared" si="16"/>
        <v>11</v>
      </c>
      <c r="K558" s="128" t="s">
        <v>188</v>
      </c>
      <c r="L558" s="128" t="s">
        <v>30</v>
      </c>
      <c r="M558" s="129" t="s">
        <v>201</v>
      </c>
      <c r="N558" s="129" t="s">
        <v>32</v>
      </c>
      <c r="O558" s="129" t="s">
        <v>28</v>
      </c>
      <c r="P558" s="129" t="str">
        <f t="shared" si="17"/>
        <v>N/A</v>
      </c>
      <c r="Q558" s="128" t="s">
        <v>1633</v>
      </c>
      <c r="R558" s="128">
        <v>15.07</v>
      </c>
      <c r="S558" s="130"/>
      <c r="T558" s="130" t="s">
        <v>998</v>
      </c>
      <c r="U558" s="147"/>
    </row>
    <row r="559" spans="1:21" ht="15.75" hidden="1" thickBot="1">
      <c r="A559" s="45">
        <v>1160</v>
      </c>
      <c r="B559" s="45">
        <v>1161</v>
      </c>
      <c r="C559" s="45">
        <v>1162</v>
      </c>
      <c r="D559" s="123"/>
      <c r="E559" s="123"/>
      <c r="F559" s="123"/>
      <c r="G559" s="127" t="s">
        <v>177</v>
      </c>
      <c r="H559" s="128">
        <v>2012</v>
      </c>
      <c r="I559" s="128" t="s">
        <v>21</v>
      </c>
      <c r="J559" s="128">
        <f t="shared" si="16"/>
        <v>11</v>
      </c>
      <c r="K559" s="128" t="s">
        <v>186</v>
      </c>
      <c r="L559" s="128" t="s">
        <v>30</v>
      </c>
      <c r="M559" s="129" t="s">
        <v>201</v>
      </c>
      <c r="N559" s="129" t="s">
        <v>28</v>
      </c>
      <c r="O559" s="129" t="s">
        <v>28</v>
      </c>
      <c r="P559" s="129" t="str">
        <f t="shared" si="17"/>
        <v>N/A</v>
      </c>
      <c r="Q559" s="128" t="s">
        <v>1634</v>
      </c>
      <c r="R559" s="128">
        <v>5.39</v>
      </c>
      <c r="S559" s="130"/>
      <c r="T559" s="130"/>
      <c r="U559" s="147"/>
    </row>
    <row r="560" spans="1:21" ht="15.75" hidden="1" thickBot="1">
      <c r="A560" s="45">
        <v>1160</v>
      </c>
      <c r="B560" s="45">
        <v>1161</v>
      </c>
      <c r="C560" s="45">
        <v>1162</v>
      </c>
      <c r="D560" s="123"/>
      <c r="E560" s="123"/>
      <c r="F560" s="123"/>
      <c r="G560" s="127" t="s">
        <v>177</v>
      </c>
      <c r="H560" s="128">
        <v>2012</v>
      </c>
      <c r="I560" s="128" t="s">
        <v>21</v>
      </c>
      <c r="J560" s="128">
        <f t="shared" si="16"/>
        <v>11</v>
      </c>
      <c r="K560" s="128" t="s">
        <v>1635</v>
      </c>
      <c r="L560" s="128" t="s">
        <v>40</v>
      </c>
      <c r="M560" s="129" t="s">
        <v>31</v>
      </c>
      <c r="N560" s="129" t="s">
        <v>28</v>
      </c>
      <c r="O560" s="129" t="s">
        <v>28</v>
      </c>
      <c r="P560" s="129" t="str">
        <f t="shared" si="17"/>
        <v>N/A</v>
      </c>
      <c r="Q560" s="128" t="s">
        <v>1636</v>
      </c>
      <c r="R560" s="128">
        <v>11.3</v>
      </c>
      <c r="S560" s="130"/>
      <c r="T560" s="130" t="s">
        <v>31</v>
      </c>
      <c r="U560" s="147"/>
    </row>
    <row r="561" spans="1:21" ht="15.75" hidden="1" thickBot="1">
      <c r="A561" s="45">
        <v>1160</v>
      </c>
      <c r="B561" s="45">
        <v>1161</v>
      </c>
      <c r="C561" s="45">
        <v>1162</v>
      </c>
      <c r="D561" s="123"/>
      <c r="E561" s="123"/>
      <c r="F561" s="123"/>
      <c r="G561" s="127" t="s">
        <v>177</v>
      </c>
      <c r="H561" s="128">
        <v>2012</v>
      </c>
      <c r="I561" s="128" t="s">
        <v>21</v>
      </c>
      <c r="J561" s="128">
        <f t="shared" si="16"/>
        <v>11</v>
      </c>
      <c r="K561" s="128" t="s">
        <v>1637</v>
      </c>
      <c r="L561" s="128" t="s">
        <v>30</v>
      </c>
      <c r="M561" s="129" t="s">
        <v>31</v>
      </c>
      <c r="N561" s="129" t="s">
        <v>28</v>
      </c>
      <c r="O561" s="129" t="s">
        <v>28</v>
      </c>
      <c r="P561" s="129" t="str">
        <f t="shared" si="17"/>
        <v>N/A</v>
      </c>
      <c r="Q561" s="128" t="s">
        <v>1638</v>
      </c>
      <c r="R561" s="128">
        <v>2.0299999999999998</v>
      </c>
      <c r="S561" s="130"/>
      <c r="T561" s="130" t="s">
        <v>31</v>
      </c>
      <c r="U561" s="147"/>
    </row>
    <row r="562" spans="1:21" ht="15.75" hidden="1" thickBot="1">
      <c r="A562" s="45">
        <v>1160</v>
      </c>
      <c r="B562" s="45">
        <v>1161</v>
      </c>
      <c r="C562" s="45">
        <v>1162</v>
      </c>
      <c r="D562" s="123"/>
      <c r="E562" s="123"/>
      <c r="F562" s="123"/>
      <c r="G562" s="127" t="s">
        <v>177</v>
      </c>
      <c r="H562" s="128">
        <v>2012</v>
      </c>
      <c r="I562" s="128" t="s">
        <v>21</v>
      </c>
      <c r="J562" s="128">
        <f t="shared" si="16"/>
        <v>11</v>
      </c>
      <c r="K562" s="128" t="s">
        <v>1639</v>
      </c>
      <c r="L562" s="128" t="s">
        <v>30</v>
      </c>
      <c r="M562" s="129" t="s">
        <v>1247</v>
      </c>
      <c r="N562" s="129" t="s">
        <v>28</v>
      </c>
      <c r="O562" s="129" t="s">
        <v>28</v>
      </c>
      <c r="P562" s="129" t="str">
        <f t="shared" si="17"/>
        <v>N/A</v>
      </c>
      <c r="Q562" s="128" t="s">
        <v>1630</v>
      </c>
      <c r="R562" s="128">
        <v>2.8</v>
      </c>
      <c r="S562" s="130"/>
      <c r="T562" s="130" t="s">
        <v>1069</v>
      </c>
      <c r="U562" s="147"/>
    </row>
    <row r="563" spans="1:21" ht="15.75" hidden="1" thickBot="1">
      <c r="A563" s="45">
        <v>1160</v>
      </c>
      <c r="B563" s="45">
        <v>1161</v>
      </c>
      <c r="C563" s="45">
        <v>1162</v>
      </c>
      <c r="D563" s="123"/>
      <c r="E563" s="123"/>
      <c r="F563" s="123"/>
      <c r="G563" s="127" t="s">
        <v>177</v>
      </c>
      <c r="H563" s="128">
        <v>2012</v>
      </c>
      <c r="I563" s="128" t="s">
        <v>21</v>
      </c>
      <c r="J563" s="128">
        <f t="shared" si="16"/>
        <v>11</v>
      </c>
      <c r="K563" s="128" t="s">
        <v>189</v>
      </c>
      <c r="L563" s="128" t="s">
        <v>30</v>
      </c>
      <c r="M563" s="129" t="s">
        <v>201</v>
      </c>
      <c r="N563" s="129" t="s">
        <v>32</v>
      </c>
      <c r="O563" s="129" t="s">
        <v>32</v>
      </c>
      <c r="P563" s="129" t="str">
        <f t="shared" si="17"/>
        <v>Y</v>
      </c>
      <c r="Q563" s="132" t="s">
        <v>1640</v>
      </c>
      <c r="R563" s="128">
        <v>17.850000000000001</v>
      </c>
      <c r="S563" s="130"/>
      <c r="T563" s="130" t="s">
        <v>998</v>
      </c>
      <c r="U563" s="147"/>
    </row>
    <row r="564" spans="1:21" ht="15.75" hidden="1" thickBot="1">
      <c r="A564" s="45">
        <v>1160</v>
      </c>
      <c r="B564" s="45">
        <v>1161</v>
      </c>
      <c r="C564" s="45">
        <v>1162</v>
      </c>
      <c r="D564" s="123"/>
      <c r="E564" s="123"/>
      <c r="F564" s="123"/>
      <c r="G564" s="127" t="s">
        <v>177</v>
      </c>
      <c r="H564" s="128">
        <v>2012</v>
      </c>
      <c r="I564" s="128" t="s">
        <v>21</v>
      </c>
      <c r="J564" s="128">
        <f t="shared" si="16"/>
        <v>11</v>
      </c>
      <c r="K564" s="128" t="s">
        <v>187</v>
      </c>
      <c r="L564" s="128" t="s">
        <v>30</v>
      </c>
      <c r="M564" s="129" t="s">
        <v>31</v>
      </c>
      <c r="N564" s="129" t="s">
        <v>32</v>
      </c>
      <c r="O564" s="129" t="s">
        <v>32</v>
      </c>
      <c r="P564" s="129" t="str">
        <f t="shared" si="17"/>
        <v>Y</v>
      </c>
      <c r="Q564" s="130"/>
      <c r="R564" s="128">
        <v>15.2</v>
      </c>
      <c r="S564" s="130"/>
      <c r="T564" s="130"/>
      <c r="U564" s="147"/>
    </row>
    <row r="565" spans="1:21" ht="15.75" thickBot="1">
      <c r="A565" s="45">
        <v>1155</v>
      </c>
      <c r="B565" s="45">
        <v>1156</v>
      </c>
      <c r="C565" s="45">
        <v>1157</v>
      </c>
      <c r="D565" s="123"/>
      <c r="E565" s="123"/>
      <c r="F565" s="123"/>
      <c r="G565" s="127" t="s">
        <v>177</v>
      </c>
      <c r="H565" s="128">
        <v>2014</v>
      </c>
      <c r="I565" s="128" t="s">
        <v>21</v>
      </c>
      <c r="J565" s="128">
        <f t="shared" si="16"/>
        <v>9</v>
      </c>
      <c r="K565" s="128" t="s">
        <v>1641</v>
      </c>
      <c r="L565" s="128" t="s">
        <v>30</v>
      </c>
      <c r="M565" s="129" t="s">
        <v>1003</v>
      </c>
      <c r="N565" s="129" t="s">
        <v>28</v>
      </c>
      <c r="O565" s="129"/>
      <c r="P565" s="129" t="str">
        <f t="shared" si="17"/>
        <v/>
      </c>
      <c r="Q565" s="144" t="s">
        <v>1004</v>
      </c>
      <c r="R565" s="128">
        <v>5.81</v>
      </c>
      <c r="S565" s="130"/>
      <c r="T565" s="130"/>
      <c r="U565" s="147"/>
    </row>
    <row r="566" spans="1:21" ht="15.75" thickBot="1">
      <c r="A566" s="45">
        <v>1155</v>
      </c>
      <c r="B566" s="45">
        <v>1156</v>
      </c>
      <c r="C566" s="45">
        <v>1157</v>
      </c>
      <c r="D566" s="123"/>
      <c r="E566" s="123"/>
      <c r="F566" s="123"/>
      <c r="G566" s="127" t="s">
        <v>177</v>
      </c>
      <c r="H566" s="128">
        <v>2014</v>
      </c>
      <c r="I566" s="128" t="s">
        <v>21</v>
      </c>
      <c r="J566" s="128">
        <f t="shared" si="16"/>
        <v>9</v>
      </c>
      <c r="K566" s="128" t="s">
        <v>1642</v>
      </c>
      <c r="L566" s="128" t="s">
        <v>30</v>
      </c>
      <c r="M566" s="129" t="s">
        <v>201</v>
      </c>
      <c r="N566" s="129" t="s">
        <v>28</v>
      </c>
      <c r="O566" s="129"/>
      <c r="P566" s="129" t="str">
        <f t="shared" si="17"/>
        <v/>
      </c>
      <c r="Q566" s="138" t="s">
        <v>1643</v>
      </c>
      <c r="R566" s="128">
        <v>10.64</v>
      </c>
      <c r="S566" s="130"/>
      <c r="T566" s="130" t="s">
        <v>1015</v>
      </c>
      <c r="U566" s="147"/>
    </row>
    <row r="567" spans="1:21" ht="15.75" thickBot="1">
      <c r="A567" s="45">
        <v>1155</v>
      </c>
      <c r="B567" s="45">
        <v>1156</v>
      </c>
      <c r="C567" s="45">
        <v>1157</v>
      </c>
      <c r="D567" s="123"/>
      <c r="E567" s="123"/>
      <c r="F567" s="123"/>
      <c r="G567" s="127" t="s">
        <v>177</v>
      </c>
      <c r="H567" s="128">
        <v>2014</v>
      </c>
      <c r="I567" s="128" t="s">
        <v>21</v>
      </c>
      <c r="J567" s="128">
        <f t="shared" si="16"/>
        <v>9</v>
      </c>
      <c r="K567" s="128" t="s">
        <v>1644</v>
      </c>
      <c r="L567" s="128" t="s">
        <v>30</v>
      </c>
      <c r="M567" s="129" t="s">
        <v>201</v>
      </c>
      <c r="N567" s="129" t="s">
        <v>28</v>
      </c>
      <c r="O567" s="129"/>
      <c r="P567" s="129" t="str">
        <f t="shared" si="17"/>
        <v/>
      </c>
      <c r="Q567" s="128" t="s">
        <v>1645</v>
      </c>
      <c r="R567" s="128">
        <v>3.19</v>
      </c>
      <c r="S567" s="130"/>
      <c r="T567" s="130" t="s">
        <v>998</v>
      </c>
      <c r="U567" s="147"/>
    </row>
    <row r="568" spans="1:21" ht="15.75" thickBot="1">
      <c r="A568" s="45">
        <v>1155</v>
      </c>
      <c r="B568" s="45">
        <v>1156</v>
      </c>
      <c r="C568" s="45">
        <v>1157</v>
      </c>
      <c r="D568" s="123"/>
      <c r="E568" s="123"/>
      <c r="F568" s="123"/>
      <c r="G568" s="127" t="s">
        <v>177</v>
      </c>
      <c r="H568" s="128">
        <v>2014</v>
      </c>
      <c r="I568" s="128" t="s">
        <v>21</v>
      </c>
      <c r="J568" s="128">
        <f t="shared" si="16"/>
        <v>9</v>
      </c>
      <c r="K568" s="128" t="s">
        <v>1646</v>
      </c>
      <c r="L568" s="128" t="s">
        <v>40</v>
      </c>
      <c r="M568" s="129" t="s">
        <v>31</v>
      </c>
      <c r="N568" s="129" t="s">
        <v>28</v>
      </c>
      <c r="O568" s="129"/>
      <c r="P568" s="129" t="str">
        <f t="shared" si="17"/>
        <v/>
      </c>
      <c r="Q568" s="128" t="s">
        <v>1647</v>
      </c>
      <c r="R568" s="128">
        <v>12.98</v>
      </c>
      <c r="S568" s="130"/>
      <c r="T568" s="130" t="s">
        <v>31</v>
      </c>
      <c r="U568" s="147"/>
    </row>
    <row r="569" spans="1:21" ht="15.75" hidden="1" thickBot="1">
      <c r="A569" s="45">
        <v>1155</v>
      </c>
      <c r="B569" s="45">
        <v>1156</v>
      </c>
      <c r="C569" s="45">
        <v>1157</v>
      </c>
      <c r="D569" s="123"/>
      <c r="E569" s="123"/>
      <c r="F569" s="123"/>
      <c r="G569" s="127" t="s">
        <v>177</v>
      </c>
      <c r="H569" s="128">
        <v>2014</v>
      </c>
      <c r="I569" s="128" t="s">
        <v>21</v>
      </c>
      <c r="J569" s="128">
        <f t="shared" si="16"/>
        <v>9</v>
      </c>
      <c r="K569" s="128" t="s">
        <v>181</v>
      </c>
      <c r="L569" s="128" t="s">
        <v>30</v>
      </c>
      <c r="M569" s="129" t="s">
        <v>1065</v>
      </c>
      <c r="N569" s="129" t="s">
        <v>32</v>
      </c>
      <c r="O569" s="129" t="s">
        <v>28</v>
      </c>
      <c r="P569" s="129" t="str">
        <f t="shared" si="17"/>
        <v>N/A</v>
      </c>
      <c r="Q569" s="128" t="s">
        <v>1611</v>
      </c>
      <c r="R569" s="128">
        <v>14.77</v>
      </c>
      <c r="S569" s="130"/>
      <c r="T569" s="130" t="s">
        <v>998</v>
      </c>
      <c r="U569" s="147"/>
    </row>
    <row r="570" spans="1:21" ht="15.75" thickBot="1">
      <c r="A570" s="45">
        <v>1155</v>
      </c>
      <c r="B570" s="45">
        <v>1156</v>
      </c>
      <c r="C570" s="45">
        <v>1157</v>
      </c>
      <c r="D570" s="123"/>
      <c r="E570" s="123"/>
      <c r="F570" s="123"/>
      <c r="G570" s="127" t="s">
        <v>177</v>
      </c>
      <c r="H570" s="128">
        <v>2014</v>
      </c>
      <c r="I570" s="128" t="s">
        <v>21</v>
      </c>
      <c r="J570" s="128">
        <f t="shared" si="16"/>
        <v>9</v>
      </c>
      <c r="K570" s="128" t="s">
        <v>1648</v>
      </c>
      <c r="L570" s="128" t="s">
        <v>30</v>
      </c>
      <c r="M570" s="129" t="s">
        <v>201</v>
      </c>
      <c r="N570" s="129" t="s">
        <v>28</v>
      </c>
      <c r="O570" s="129"/>
      <c r="P570" s="129" t="str">
        <f t="shared" si="17"/>
        <v/>
      </c>
      <c r="Q570" s="138" t="s">
        <v>1649</v>
      </c>
      <c r="R570" s="128">
        <v>6.07</v>
      </c>
      <c r="S570" s="130"/>
      <c r="T570" s="130" t="s">
        <v>998</v>
      </c>
      <c r="U570" s="147"/>
    </row>
    <row r="571" spans="1:21" ht="15.75" hidden="1" thickBot="1">
      <c r="A571" s="45">
        <v>1155</v>
      </c>
      <c r="B571" s="45">
        <v>1156</v>
      </c>
      <c r="C571" s="45">
        <v>1157</v>
      </c>
      <c r="D571" s="123"/>
      <c r="E571" s="123"/>
      <c r="F571" s="123"/>
      <c r="G571" s="127" t="s">
        <v>177</v>
      </c>
      <c r="H571" s="128">
        <v>2014</v>
      </c>
      <c r="I571" s="128" t="s">
        <v>21</v>
      </c>
      <c r="J571" s="128">
        <f t="shared" si="16"/>
        <v>9</v>
      </c>
      <c r="K571" s="128" t="s">
        <v>183</v>
      </c>
      <c r="L571" s="128" t="s">
        <v>40</v>
      </c>
      <c r="M571" s="129" t="s">
        <v>31</v>
      </c>
      <c r="N571" s="129" t="s">
        <v>32</v>
      </c>
      <c r="O571" s="129" t="s">
        <v>32</v>
      </c>
      <c r="P571" s="129" t="str">
        <f t="shared" si="17"/>
        <v>Y</v>
      </c>
      <c r="Q571" s="128" t="s">
        <v>1650</v>
      </c>
      <c r="R571" s="128">
        <v>16.95</v>
      </c>
      <c r="S571" s="130"/>
      <c r="T571" s="130" t="s">
        <v>31</v>
      </c>
      <c r="U571" s="147"/>
    </row>
    <row r="572" spans="1:21" ht="15.75" thickBot="1">
      <c r="A572" s="45">
        <v>1155</v>
      </c>
      <c r="B572" s="45">
        <v>1156</v>
      </c>
      <c r="C572" s="45">
        <v>1157</v>
      </c>
      <c r="D572" s="123"/>
      <c r="E572" s="123"/>
      <c r="F572" s="123"/>
      <c r="G572" s="127" t="s">
        <v>177</v>
      </c>
      <c r="H572" s="128">
        <v>2014</v>
      </c>
      <c r="I572" s="128" t="s">
        <v>21</v>
      </c>
      <c r="J572" s="128">
        <f t="shared" si="16"/>
        <v>9</v>
      </c>
      <c r="K572" s="128" t="s">
        <v>192</v>
      </c>
      <c r="L572" s="128" t="s">
        <v>30</v>
      </c>
      <c r="M572" s="129" t="s">
        <v>31</v>
      </c>
      <c r="N572" s="129" t="s">
        <v>28</v>
      </c>
      <c r="O572" s="129" t="s">
        <v>32</v>
      </c>
      <c r="P572" s="129" t="str">
        <f t="shared" si="17"/>
        <v>N</v>
      </c>
      <c r="Q572" s="128" t="s">
        <v>1651</v>
      </c>
      <c r="R572" s="128">
        <v>13.19</v>
      </c>
      <c r="S572" s="130"/>
      <c r="T572" s="130" t="s">
        <v>31</v>
      </c>
      <c r="U572" s="147"/>
    </row>
    <row r="573" spans="1:21" ht="26.25" hidden="1" thickBot="1">
      <c r="A573" s="45">
        <v>1155</v>
      </c>
      <c r="B573" s="45">
        <v>1156</v>
      </c>
      <c r="C573" s="45">
        <v>1157</v>
      </c>
      <c r="D573" s="123"/>
      <c r="E573" s="123"/>
      <c r="F573" s="123"/>
      <c r="G573" s="127" t="s">
        <v>177</v>
      </c>
      <c r="H573" s="128">
        <v>2014</v>
      </c>
      <c r="I573" s="128" t="s">
        <v>21</v>
      </c>
      <c r="J573" s="128">
        <f t="shared" si="16"/>
        <v>9</v>
      </c>
      <c r="K573" s="128" t="s">
        <v>184</v>
      </c>
      <c r="L573" s="128" t="s">
        <v>40</v>
      </c>
      <c r="M573" s="129" t="s">
        <v>1604</v>
      </c>
      <c r="N573" s="129" t="s">
        <v>32</v>
      </c>
      <c r="O573" s="129" t="s">
        <v>32</v>
      </c>
      <c r="P573" s="129" t="str">
        <f t="shared" si="17"/>
        <v>Y</v>
      </c>
      <c r="Q573" s="138" t="s">
        <v>1652</v>
      </c>
      <c r="R573" s="128">
        <v>16.11</v>
      </c>
      <c r="S573" s="130"/>
      <c r="T573" s="130" t="s">
        <v>1653</v>
      </c>
      <c r="U573" s="147"/>
    </row>
    <row r="574" spans="1:21" ht="15.75" thickBot="1">
      <c r="A574" s="45">
        <v>1158</v>
      </c>
      <c r="B574" s="123"/>
      <c r="C574" s="123"/>
      <c r="D574" s="123"/>
      <c r="E574" s="123"/>
      <c r="F574" s="123"/>
      <c r="G574" s="127" t="s">
        <v>177</v>
      </c>
      <c r="H574" s="128">
        <v>2014</v>
      </c>
      <c r="I574" s="128" t="s">
        <v>38</v>
      </c>
      <c r="J574" s="128">
        <f t="shared" si="16"/>
        <v>3</v>
      </c>
      <c r="K574" s="128" t="s">
        <v>1654</v>
      </c>
      <c r="L574" s="128" t="s">
        <v>30</v>
      </c>
      <c r="M574" s="129" t="s">
        <v>201</v>
      </c>
      <c r="N574" s="129" t="s">
        <v>28</v>
      </c>
      <c r="O574" s="129"/>
      <c r="P574" s="129" t="str">
        <f t="shared" si="17"/>
        <v/>
      </c>
      <c r="Q574" s="128" t="s">
        <v>1655</v>
      </c>
      <c r="R574" s="128">
        <v>13.84</v>
      </c>
      <c r="S574" s="130"/>
      <c r="T574" s="130" t="s">
        <v>1015</v>
      </c>
      <c r="U574" s="147"/>
    </row>
    <row r="575" spans="1:21" ht="15.75" hidden="1" thickBot="1">
      <c r="A575" s="45">
        <v>1158</v>
      </c>
      <c r="B575" s="123"/>
      <c r="C575" s="123"/>
      <c r="D575" s="123"/>
      <c r="E575" s="123"/>
      <c r="F575" s="123"/>
      <c r="G575" s="127" t="s">
        <v>177</v>
      </c>
      <c r="H575" s="128">
        <v>2014</v>
      </c>
      <c r="I575" s="128" t="s">
        <v>38</v>
      </c>
      <c r="J575" s="128">
        <f t="shared" si="16"/>
        <v>3</v>
      </c>
      <c r="K575" s="128" t="s">
        <v>189</v>
      </c>
      <c r="L575" s="128" t="s">
        <v>30</v>
      </c>
      <c r="M575" s="129" t="s">
        <v>201</v>
      </c>
      <c r="N575" s="129" t="s">
        <v>28</v>
      </c>
      <c r="O575" s="129" t="s">
        <v>28</v>
      </c>
      <c r="P575" s="129" t="str">
        <f t="shared" si="17"/>
        <v>N/A</v>
      </c>
      <c r="Q575" s="128" t="s">
        <v>1656</v>
      </c>
      <c r="R575" s="128">
        <v>35.39</v>
      </c>
      <c r="S575" s="130"/>
      <c r="T575" s="130" t="s">
        <v>1015</v>
      </c>
      <c r="U575" s="147"/>
    </row>
    <row r="576" spans="1:21" ht="15.75" hidden="1" thickBot="1">
      <c r="A576" s="45">
        <v>1158</v>
      </c>
      <c r="B576" s="123"/>
      <c r="C576" s="123"/>
      <c r="D576" s="123"/>
      <c r="E576" s="123"/>
      <c r="F576" s="123"/>
      <c r="G576" s="127" t="s">
        <v>177</v>
      </c>
      <c r="H576" s="128">
        <v>2014</v>
      </c>
      <c r="I576" s="128" t="s">
        <v>38</v>
      </c>
      <c r="J576" s="128">
        <f t="shared" si="16"/>
        <v>3</v>
      </c>
      <c r="K576" s="128" t="s">
        <v>187</v>
      </c>
      <c r="L576" s="128" t="s">
        <v>30</v>
      </c>
      <c r="M576" s="129" t="s">
        <v>31</v>
      </c>
      <c r="N576" s="129" t="s">
        <v>32</v>
      </c>
      <c r="O576" s="129" t="s">
        <v>28</v>
      </c>
      <c r="P576" s="129" t="str">
        <f t="shared" si="17"/>
        <v>N/A</v>
      </c>
      <c r="Q576" s="128" t="s">
        <v>1657</v>
      </c>
      <c r="R576" s="128">
        <v>50.37</v>
      </c>
      <c r="S576" s="130"/>
      <c r="T576" s="130" t="s">
        <v>31</v>
      </c>
      <c r="U576" s="147"/>
    </row>
    <row r="577" spans="1:21" ht="15.75" thickBot="1">
      <c r="A577" s="45">
        <v>1159</v>
      </c>
      <c r="B577" s="123"/>
      <c r="C577" s="123"/>
      <c r="D577" s="123"/>
      <c r="E577" s="123"/>
      <c r="F577" s="123"/>
      <c r="G577" s="127" t="s">
        <v>177</v>
      </c>
      <c r="H577" s="128">
        <v>2014</v>
      </c>
      <c r="I577" s="128" t="s">
        <v>185</v>
      </c>
      <c r="J577" s="128">
        <f t="shared" si="16"/>
        <v>3</v>
      </c>
      <c r="K577" s="128" t="s">
        <v>1658</v>
      </c>
      <c r="L577" s="128" t="s">
        <v>30</v>
      </c>
      <c r="M577" s="129" t="s">
        <v>201</v>
      </c>
      <c r="N577" s="129" t="s">
        <v>28</v>
      </c>
      <c r="O577" s="129"/>
      <c r="P577" s="129" t="str">
        <f t="shared" si="17"/>
        <v/>
      </c>
      <c r="Q577" s="128" t="s">
        <v>1659</v>
      </c>
      <c r="R577" s="128">
        <v>17.14</v>
      </c>
      <c r="S577" s="130"/>
      <c r="T577" s="130" t="s">
        <v>998</v>
      </c>
      <c r="U577" s="147"/>
    </row>
    <row r="578" spans="1:21" ht="15.75" thickBot="1">
      <c r="A578" s="45">
        <v>1159</v>
      </c>
      <c r="B578" s="123"/>
      <c r="C578" s="123"/>
      <c r="D578" s="123"/>
      <c r="E578" s="123"/>
      <c r="F578" s="123"/>
      <c r="G578" s="127" t="s">
        <v>177</v>
      </c>
      <c r="H578" s="128">
        <v>2014</v>
      </c>
      <c r="I578" s="128" t="s">
        <v>185</v>
      </c>
      <c r="J578" s="128">
        <f t="shared" ref="J578:J641" si="18">COUNTIF(A$2:A$2215, A578)</f>
        <v>3</v>
      </c>
      <c r="K578" s="128" t="s">
        <v>186</v>
      </c>
      <c r="L578" s="128" t="s">
        <v>30</v>
      </c>
      <c r="M578" s="129" t="s">
        <v>201</v>
      </c>
      <c r="N578" s="129" t="s">
        <v>32</v>
      </c>
      <c r="O578" s="129"/>
      <c r="P578" s="129" t="str">
        <f t="shared" si="17"/>
        <v/>
      </c>
      <c r="Q578" s="128" t="s">
        <v>1634</v>
      </c>
      <c r="R578" s="128">
        <v>50.92</v>
      </c>
      <c r="S578" s="130"/>
      <c r="T578" s="130" t="s">
        <v>998</v>
      </c>
      <c r="U578" s="147"/>
    </row>
    <row r="579" spans="1:21" ht="15.75" thickBot="1">
      <c r="A579" s="45">
        <v>1159</v>
      </c>
      <c r="B579" s="123"/>
      <c r="C579" s="123"/>
      <c r="D579" s="123"/>
      <c r="E579" s="123"/>
      <c r="F579" s="123"/>
      <c r="G579" s="127" t="s">
        <v>177</v>
      </c>
      <c r="H579" s="128">
        <v>2014</v>
      </c>
      <c r="I579" s="128" t="s">
        <v>185</v>
      </c>
      <c r="J579" s="128">
        <f t="shared" si="18"/>
        <v>3</v>
      </c>
      <c r="K579" s="128" t="s">
        <v>1557</v>
      </c>
      <c r="L579" s="128" t="s">
        <v>30</v>
      </c>
      <c r="M579" s="129" t="s">
        <v>201</v>
      </c>
      <c r="N579" s="129" t="s">
        <v>28</v>
      </c>
      <c r="O579" s="129" t="s">
        <v>32</v>
      </c>
      <c r="P579" s="129" t="str">
        <f t="shared" ref="P579:P642" si="19">IF(O579="N", "N/A", IF(AND(N579="N",  O579="Y"), "N", IF(AND(O579="Y", N579="Y"), "Y", "")))</f>
        <v>N</v>
      </c>
      <c r="Q579" s="128" t="s">
        <v>1660</v>
      </c>
      <c r="R579" s="128">
        <v>31.51</v>
      </c>
      <c r="S579" s="130"/>
      <c r="T579" s="130" t="s">
        <v>998</v>
      </c>
      <c r="U579" s="147"/>
    </row>
    <row r="580" spans="1:21" ht="15.75" hidden="1" thickBot="1">
      <c r="A580" s="45" t="s">
        <v>1661</v>
      </c>
      <c r="B580" s="123"/>
      <c r="C580" s="123"/>
      <c r="D580" s="123"/>
      <c r="E580" s="123"/>
      <c r="F580" s="123"/>
      <c r="G580" s="127" t="s">
        <v>210</v>
      </c>
      <c r="H580" s="128">
        <v>1992</v>
      </c>
      <c r="I580" s="128" t="s">
        <v>1662</v>
      </c>
      <c r="J580" s="128">
        <f t="shared" si="18"/>
        <v>25</v>
      </c>
      <c r="K580" s="128" t="s">
        <v>1663</v>
      </c>
      <c r="L580" s="128" t="s">
        <v>30</v>
      </c>
      <c r="M580" s="129" t="s">
        <v>31</v>
      </c>
      <c r="N580" s="129" t="s">
        <v>28</v>
      </c>
      <c r="O580" s="129" t="s">
        <v>28</v>
      </c>
      <c r="P580" s="129" t="str">
        <f t="shared" si="19"/>
        <v>N/A</v>
      </c>
      <c r="Q580" s="132" t="s">
        <v>1664</v>
      </c>
      <c r="R580" s="128">
        <v>0.79</v>
      </c>
      <c r="S580" s="130"/>
      <c r="T580" s="130" t="s">
        <v>31</v>
      </c>
      <c r="U580" s="152"/>
    </row>
    <row r="581" spans="1:21" ht="15.75" thickBot="1">
      <c r="A581" s="45" t="s">
        <v>1661</v>
      </c>
      <c r="B581" s="123"/>
      <c r="C581" s="123"/>
      <c r="D581" s="123"/>
      <c r="E581" s="123"/>
      <c r="F581" s="123"/>
      <c r="G581" s="127" t="s">
        <v>210</v>
      </c>
      <c r="H581" s="128">
        <v>1992</v>
      </c>
      <c r="I581" s="128" t="s">
        <v>1662</v>
      </c>
      <c r="J581" s="128">
        <f t="shared" si="18"/>
        <v>25</v>
      </c>
      <c r="K581" s="128" t="s">
        <v>1665</v>
      </c>
      <c r="L581" s="128" t="s">
        <v>30</v>
      </c>
      <c r="M581" s="129" t="s">
        <v>1065</v>
      </c>
      <c r="N581" s="129" t="s">
        <v>28</v>
      </c>
      <c r="O581" s="129"/>
      <c r="P581" s="129" t="str">
        <f t="shared" si="19"/>
        <v/>
      </c>
      <c r="Q581" s="130"/>
      <c r="R581" s="128">
        <v>1.3</v>
      </c>
      <c r="S581" s="130"/>
      <c r="T581" s="130"/>
      <c r="U581" s="152"/>
    </row>
    <row r="582" spans="1:21" ht="15.75" thickBot="1">
      <c r="A582" s="45" t="s">
        <v>1661</v>
      </c>
      <c r="B582" s="123"/>
      <c r="C582" s="123"/>
      <c r="D582" s="123"/>
      <c r="E582" s="123"/>
      <c r="F582" s="123"/>
      <c r="G582" s="127" t="s">
        <v>210</v>
      </c>
      <c r="H582" s="128">
        <v>1992</v>
      </c>
      <c r="I582" s="128" t="s">
        <v>1662</v>
      </c>
      <c r="J582" s="128">
        <f t="shared" si="18"/>
        <v>25</v>
      </c>
      <c r="K582" s="128" t="s">
        <v>1666</v>
      </c>
      <c r="L582" s="128" t="s">
        <v>40</v>
      </c>
      <c r="M582" s="129" t="s">
        <v>31</v>
      </c>
      <c r="N582" s="129" t="s">
        <v>32</v>
      </c>
      <c r="O582" s="129"/>
      <c r="P582" s="129" t="str">
        <f t="shared" si="19"/>
        <v/>
      </c>
      <c r="Q582" s="130"/>
      <c r="R582" s="128">
        <v>10.73</v>
      </c>
      <c r="S582" s="130"/>
      <c r="T582" s="130"/>
      <c r="U582" s="152"/>
    </row>
    <row r="583" spans="1:21" ht="15.75" thickBot="1">
      <c r="A583" s="45" t="s">
        <v>1661</v>
      </c>
      <c r="B583" s="123"/>
      <c r="C583" s="123"/>
      <c r="D583" s="123"/>
      <c r="E583" s="123"/>
      <c r="F583" s="123"/>
      <c r="G583" s="127" t="s">
        <v>210</v>
      </c>
      <c r="H583" s="128">
        <v>1992</v>
      </c>
      <c r="I583" s="128" t="s">
        <v>1662</v>
      </c>
      <c r="J583" s="128">
        <f t="shared" si="18"/>
        <v>25</v>
      </c>
      <c r="K583" s="128" t="s">
        <v>1667</v>
      </c>
      <c r="L583" s="128" t="s">
        <v>40</v>
      </c>
      <c r="M583" s="129" t="s">
        <v>31</v>
      </c>
      <c r="N583" s="129" t="s">
        <v>32</v>
      </c>
      <c r="O583" s="129"/>
      <c r="P583" s="129" t="str">
        <f t="shared" si="19"/>
        <v/>
      </c>
      <c r="Q583" s="130"/>
      <c r="R583" s="128">
        <v>8.3800000000000008</v>
      </c>
      <c r="S583" s="130"/>
      <c r="T583" s="130"/>
      <c r="U583" s="152"/>
    </row>
    <row r="584" spans="1:21" ht="15.75" thickBot="1">
      <c r="A584" s="45" t="s">
        <v>1661</v>
      </c>
      <c r="B584" s="123"/>
      <c r="C584" s="123"/>
      <c r="D584" s="123"/>
      <c r="E584" s="123"/>
      <c r="F584" s="123"/>
      <c r="G584" s="127" t="s">
        <v>210</v>
      </c>
      <c r="H584" s="128">
        <v>1992</v>
      </c>
      <c r="I584" s="128" t="s">
        <v>1662</v>
      </c>
      <c r="J584" s="128">
        <f t="shared" si="18"/>
        <v>25</v>
      </c>
      <c r="K584" s="128" t="s">
        <v>1668</v>
      </c>
      <c r="L584" s="128" t="s">
        <v>30</v>
      </c>
      <c r="M584" s="129" t="s">
        <v>1003</v>
      </c>
      <c r="N584" s="129" t="s">
        <v>28</v>
      </c>
      <c r="O584" s="129"/>
      <c r="P584" s="129" t="str">
        <f t="shared" si="19"/>
        <v/>
      </c>
      <c r="Q584" s="128" t="s">
        <v>1004</v>
      </c>
      <c r="R584" s="128">
        <v>0.69</v>
      </c>
      <c r="S584" s="130"/>
      <c r="T584" s="130"/>
      <c r="U584" s="152"/>
    </row>
    <row r="585" spans="1:21" ht="15.75" thickBot="1">
      <c r="A585" s="45" t="s">
        <v>1661</v>
      </c>
      <c r="B585" s="123"/>
      <c r="C585" s="123"/>
      <c r="D585" s="123"/>
      <c r="E585" s="123"/>
      <c r="F585" s="123"/>
      <c r="G585" s="127" t="s">
        <v>210</v>
      </c>
      <c r="H585" s="128">
        <v>1992</v>
      </c>
      <c r="I585" s="128" t="s">
        <v>1662</v>
      </c>
      <c r="J585" s="128">
        <f t="shared" si="18"/>
        <v>25</v>
      </c>
      <c r="K585" s="128" t="s">
        <v>1669</v>
      </c>
      <c r="L585" s="128" t="s">
        <v>30</v>
      </c>
      <c r="M585" s="129" t="s">
        <v>31</v>
      </c>
      <c r="N585" s="129" t="s">
        <v>28</v>
      </c>
      <c r="O585" s="129"/>
      <c r="P585" s="129" t="str">
        <f t="shared" si="19"/>
        <v/>
      </c>
      <c r="Q585" s="128" t="s">
        <v>1670</v>
      </c>
      <c r="R585" s="128">
        <v>7.34</v>
      </c>
      <c r="S585" s="130"/>
      <c r="T585" s="130" t="s">
        <v>31</v>
      </c>
      <c r="U585" s="152"/>
    </row>
    <row r="586" spans="1:21" ht="15.75" thickBot="1">
      <c r="A586" s="45" t="s">
        <v>1661</v>
      </c>
      <c r="B586" s="123"/>
      <c r="C586" s="123"/>
      <c r="D586" s="123"/>
      <c r="E586" s="123"/>
      <c r="F586" s="123"/>
      <c r="G586" s="127" t="s">
        <v>210</v>
      </c>
      <c r="H586" s="128">
        <v>1992</v>
      </c>
      <c r="I586" s="128" t="s">
        <v>1662</v>
      </c>
      <c r="J586" s="128">
        <f t="shared" si="18"/>
        <v>25</v>
      </c>
      <c r="K586" s="128" t="s">
        <v>1671</v>
      </c>
      <c r="L586" s="128" t="s">
        <v>1672</v>
      </c>
      <c r="M586" s="129" t="s">
        <v>1003</v>
      </c>
      <c r="N586" s="129" t="s">
        <v>28</v>
      </c>
      <c r="O586" s="129"/>
      <c r="P586" s="129" t="str">
        <f t="shared" si="19"/>
        <v/>
      </c>
      <c r="Q586" s="128" t="s">
        <v>1004</v>
      </c>
      <c r="R586" s="128">
        <v>0.31</v>
      </c>
      <c r="S586" s="130"/>
      <c r="T586" s="130"/>
      <c r="U586" s="152"/>
    </row>
    <row r="587" spans="1:21" ht="15.75" thickBot="1">
      <c r="A587" s="45" t="s">
        <v>1661</v>
      </c>
      <c r="B587" s="123"/>
      <c r="C587" s="123"/>
      <c r="D587" s="123"/>
      <c r="E587" s="123"/>
      <c r="F587" s="123"/>
      <c r="G587" s="127" t="s">
        <v>210</v>
      </c>
      <c r="H587" s="128">
        <v>1992</v>
      </c>
      <c r="I587" s="128" t="s">
        <v>1662</v>
      </c>
      <c r="J587" s="128">
        <f t="shared" si="18"/>
        <v>25</v>
      </c>
      <c r="K587" s="128" t="s">
        <v>1673</v>
      </c>
      <c r="L587" s="128" t="s">
        <v>30</v>
      </c>
      <c r="M587" s="129" t="s">
        <v>1003</v>
      </c>
      <c r="N587" s="129" t="s">
        <v>28</v>
      </c>
      <c r="O587" s="129"/>
      <c r="P587" s="129" t="str">
        <f t="shared" si="19"/>
        <v/>
      </c>
      <c r="Q587" s="128" t="s">
        <v>1004</v>
      </c>
      <c r="R587" s="128">
        <v>0.55000000000000004</v>
      </c>
      <c r="S587" s="130"/>
      <c r="T587" s="130"/>
      <c r="U587" s="152"/>
    </row>
    <row r="588" spans="1:21" ht="15.75" thickBot="1">
      <c r="A588" s="45" t="s">
        <v>1661</v>
      </c>
      <c r="B588" s="123"/>
      <c r="C588" s="123"/>
      <c r="D588" s="123"/>
      <c r="E588" s="123"/>
      <c r="F588" s="123"/>
      <c r="G588" s="127" t="s">
        <v>210</v>
      </c>
      <c r="H588" s="128">
        <v>1992</v>
      </c>
      <c r="I588" s="128" t="s">
        <v>1662</v>
      </c>
      <c r="J588" s="128">
        <f t="shared" si="18"/>
        <v>25</v>
      </c>
      <c r="K588" s="128" t="s">
        <v>1674</v>
      </c>
      <c r="L588" s="128" t="s">
        <v>30</v>
      </c>
      <c r="M588" s="129" t="s">
        <v>1003</v>
      </c>
      <c r="N588" s="129" t="s">
        <v>28</v>
      </c>
      <c r="O588" s="129"/>
      <c r="P588" s="129" t="str">
        <f t="shared" si="19"/>
        <v/>
      </c>
      <c r="Q588" s="128" t="s">
        <v>1004</v>
      </c>
      <c r="R588" s="128">
        <v>0.53</v>
      </c>
      <c r="S588" s="130"/>
      <c r="T588" s="130"/>
      <c r="U588" s="152"/>
    </row>
    <row r="589" spans="1:21" ht="15.75" thickBot="1">
      <c r="A589" s="45" t="s">
        <v>1661</v>
      </c>
      <c r="B589" s="123"/>
      <c r="C589" s="123"/>
      <c r="D589" s="123"/>
      <c r="E589" s="123"/>
      <c r="F589" s="123"/>
      <c r="G589" s="127" t="s">
        <v>210</v>
      </c>
      <c r="H589" s="128">
        <v>1992</v>
      </c>
      <c r="I589" s="128" t="s">
        <v>1662</v>
      </c>
      <c r="J589" s="128">
        <f t="shared" si="18"/>
        <v>25</v>
      </c>
      <c r="K589" s="128" t="s">
        <v>1675</v>
      </c>
      <c r="L589" s="128" t="s">
        <v>30</v>
      </c>
      <c r="M589" s="129" t="s">
        <v>1003</v>
      </c>
      <c r="N589" s="129" t="s">
        <v>28</v>
      </c>
      <c r="O589" s="129"/>
      <c r="P589" s="129" t="str">
        <f t="shared" si="19"/>
        <v/>
      </c>
      <c r="Q589" s="128" t="s">
        <v>1004</v>
      </c>
      <c r="R589" s="128">
        <v>1.19</v>
      </c>
      <c r="S589" s="130"/>
      <c r="T589" s="130"/>
      <c r="U589" s="152"/>
    </row>
    <row r="590" spans="1:21" ht="15.75" thickBot="1">
      <c r="A590" s="45" t="s">
        <v>1661</v>
      </c>
      <c r="B590" s="123"/>
      <c r="C590" s="123"/>
      <c r="D590" s="123"/>
      <c r="E590" s="123"/>
      <c r="F590" s="123"/>
      <c r="G590" s="127" t="s">
        <v>210</v>
      </c>
      <c r="H590" s="128">
        <v>1992</v>
      </c>
      <c r="I590" s="128" t="s">
        <v>1662</v>
      </c>
      <c r="J590" s="128">
        <f t="shared" si="18"/>
        <v>25</v>
      </c>
      <c r="K590" s="128" t="s">
        <v>1676</v>
      </c>
      <c r="L590" s="128" t="s">
        <v>30</v>
      </c>
      <c r="M590" s="129" t="s">
        <v>31</v>
      </c>
      <c r="N590" s="129" t="s">
        <v>28</v>
      </c>
      <c r="O590" s="129"/>
      <c r="P590" s="129" t="str">
        <f t="shared" si="19"/>
        <v/>
      </c>
      <c r="Q590" s="128" t="s">
        <v>1677</v>
      </c>
      <c r="R590" s="128">
        <v>1.1399999999999999</v>
      </c>
      <c r="S590" s="130"/>
      <c r="T590" s="130" t="s">
        <v>31</v>
      </c>
      <c r="U590" s="152"/>
    </row>
    <row r="591" spans="1:21" ht="26.25" thickBot="1">
      <c r="A591" s="45" t="s">
        <v>1661</v>
      </c>
      <c r="B591" s="123"/>
      <c r="C591" s="123"/>
      <c r="D591" s="123"/>
      <c r="E591" s="123"/>
      <c r="F591" s="123"/>
      <c r="G591" s="127" t="s">
        <v>210</v>
      </c>
      <c r="H591" s="128">
        <v>1992</v>
      </c>
      <c r="I591" s="128" t="s">
        <v>1662</v>
      </c>
      <c r="J591" s="128">
        <f t="shared" si="18"/>
        <v>25</v>
      </c>
      <c r="K591" s="128" t="s">
        <v>1678</v>
      </c>
      <c r="L591" s="128" t="s">
        <v>30</v>
      </c>
      <c r="M591" s="129" t="s">
        <v>1065</v>
      </c>
      <c r="N591" s="129" t="s">
        <v>28</v>
      </c>
      <c r="O591" s="129"/>
      <c r="P591" s="129" t="str">
        <f t="shared" si="19"/>
        <v/>
      </c>
      <c r="Q591" s="128" t="s">
        <v>1679</v>
      </c>
      <c r="R591" s="128">
        <v>7.83</v>
      </c>
      <c r="S591" s="130"/>
      <c r="T591" s="130" t="s">
        <v>1680</v>
      </c>
      <c r="U591" s="152"/>
    </row>
    <row r="592" spans="1:21" ht="15.75" thickBot="1">
      <c r="A592" s="45" t="s">
        <v>1661</v>
      </c>
      <c r="B592" s="123"/>
      <c r="C592" s="123"/>
      <c r="D592" s="123"/>
      <c r="E592" s="123"/>
      <c r="F592" s="123"/>
      <c r="G592" s="127" t="s">
        <v>210</v>
      </c>
      <c r="H592" s="128">
        <v>1992</v>
      </c>
      <c r="I592" s="128" t="s">
        <v>1662</v>
      </c>
      <c r="J592" s="128">
        <f t="shared" si="18"/>
        <v>25</v>
      </c>
      <c r="K592" s="128" t="s">
        <v>1681</v>
      </c>
      <c r="L592" s="128" t="s">
        <v>40</v>
      </c>
      <c r="M592" s="129" t="s">
        <v>1003</v>
      </c>
      <c r="N592" s="129" t="s">
        <v>28</v>
      </c>
      <c r="O592" s="129"/>
      <c r="P592" s="129" t="str">
        <f t="shared" si="19"/>
        <v/>
      </c>
      <c r="Q592" s="128" t="s">
        <v>1004</v>
      </c>
      <c r="R592" s="128">
        <v>0.68</v>
      </c>
      <c r="S592" s="130"/>
      <c r="T592" s="130"/>
      <c r="U592" s="152"/>
    </row>
    <row r="593" spans="1:21" ht="15.75" thickBot="1">
      <c r="A593" s="45" t="s">
        <v>1661</v>
      </c>
      <c r="B593" s="123"/>
      <c r="C593" s="123"/>
      <c r="D593" s="123"/>
      <c r="E593" s="123"/>
      <c r="F593" s="123"/>
      <c r="G593" s="127" t="s">
        <v>210</v>
      </c>
      <c r="H593" s="128">
        <v>1992</v>
      </c>
      <c r="I593" s="128" t="s">
        <v>1662</v>
      </c>
      <c r="J593" s="128">
        <f t="shared" si="18"/>
        <v>25</v>
      </c>
      <c r="K593" s="128" t="s">
        <v>1682</v>
      </c>
      <c r="L593" s="128" t="s">
        <v>30</v>
      </c>
      <c r="M593" s="129" t="s">
        <v>1065</v>
      </c>
      <c r="N593" s="129" t="s">
        <v>28</v>
      </c>
      <c r="O593" s="129"/>
      <c r="P593" s="129" t="str">
        <f t="shared" si="19"/>
        <v/>
      </c>
      <c r="Q593" s="130"/>
      <c r="R593" s="128">
        <v>6.34</v>
      </c>
      <c r="S593" s="130"/>
      <c r="T593" s="130"/>
      <c r="U593" s="152"/>
    </row>
    <row r="594" spans="1:21" ht="15.75" thickBot="1">
      <c r="A594" s="45" t="s">
        <v>1661</v>
      </c>
      <c r="B594" s="123"/>
      <c r="C594" s="123"/>
      <c r="D594" s="123"/>
      <c r="E594" s="123"/>
      <c r="F594" s="123"/>
      <c r="G594" s="127" t="s">
        <v>210</v>
      </c>
      <c r="H594" s="128">
        <v>1992</v>
      </c>
      <c r="I594" s="128" t="s">
        <v>1662</v>
      </c>
      <c r="J594" s="128">
        <f t="shared" si="18"/>
        <v>25</v>
      </c>
      <c r="K594" s="128" t="s">
        <v>1683</v>
      </c>
      <c r="L594" s="128" t="s">
        <v>30</v>
      </c>
      <c r="M594" s="129" t="s">
        <v>201</v>
      </c>
      <c r="N594" s="129" t="s">
        <v>28</v>
      </c>
      <c r="O594" s="129"/>
      <c r="P594" s="129" t="str">
        <f t="shared" si="19"/>
        <v/>
      </c>
      <c r="Q594" s="130"/>
      <c r="R594" s="128">
        <v>1.04</v>
      </c>
      <c r="S594" s="130"/>
      <c r="T594" s="130"/>
      <c r="U594" s="152"/>
    </row>
    <row r="595" spans="1:21" ht="51.75" thickBot="1">
      <c r="A595" s="45" t="s">
        <v>1661</v>
      </c>
      <c r="B595" s="123"/>
      <c r="C595" s="123"/>
      <c r="D595" s="123"/>
      <c r="E595" s="123"/>
      <c r="F595" s="123"/>
      <c r="G595" s="127" t="s">
        <v>210</v>
      </c>
      <c r="H595" s="128">
        <v>1992</v>
      </c>
      <c r="I595" s="128" t="s">
        <v>1662</v>
      </c>
      <c r="J595" s="128">
        <f t="shared" si="18"/>
        <v>25</v>
      </c>
      <c r="K595" s="128" t="s">
        <v>1684</v>
      </c>
      <c r="L595" s="128" t="s">
        <v>30</v>
      </c>
      <c r="M595" s="129" t="s">
        <v>1065</v>
      </c>
      <c r="N595" s="129" t="s">
        <v>28</v>
      </c>
      <c r="O595" s="129"/>
      <c r="P595" s="129" t="str">
        <f t="shared" si="19"/>
        <v/>
      </c>
      <c r="Q595" s="132" t="s">
        <v>1685</v>
      </c>
      <c r="R595" s="128">
        <v>2.85</v>
      </c>
      <c r="S595" s="130"/>
      <c r="T595" s="130" t="s">
        <v>1686</v>
      </c>
      <c r="U595" s="152"/>
    </row>
    <row r="596" spans="1:21" ht="15.75" thickBot="1">
      <c r="A596" s="45" t="s">
        <v>1661</v>
      </c>
      <c r="B596" s="123"/>
      <c r="C596" s="123"/>
      <c r="D596" s="123"/>
      <c r="E596" s="123"/>
      <c r="F596" s="123"/>
      <c r="G596" s="127" t="s">
        <v>210</v>
      </c>
      <c r="H596" s="128">
        <v>1992</v>
      </c>
      <c r="I596" s="128" t="s">
        <v>1662</v>
      </c>
      <c r="J596" s="128">
        <f t="shared" si="18"/>
        <v>25</v>
      </c>
      <c r="K596" s="128" t="s">
        <v>1687</v>
      </c>
      <c r="L596" s="128" t="s">
        <v>40</v>
      </c>
      <c r="M596" s="129" t="s">
        <v>1065</v>
      </c>
      <c r="N596" s="129" t="s">
        <v>28</v>
      </c>
      <c r="O596" s="129"/>
      <c r="P596" s="129" t="str">
        <f t="shared" si="19"/>
        <v/>
      </c>
      <c r="Q596" s="130"/>
      <c r="R596" s="128">
        <v>2.62</v>
      </c>
      <c r="S596" s="130"/>
      <c r="T596" s="130"/>
      <c r="U596" s="152"/>
    </row>
    <row r="597" spans="1:21" ht="15.75" thickBot="1">
      <c r="A597" s="45" t="s">
        <v>1661</v>
      </c>
      <c r="B597" s="123"/>
      <c r="C597" s="123"/>
      <c r="D597" s="123"/>
      <c r="E597" s="123"/>
      <c r="F597" s="123"/>
      <c r="G597" s="127" t="s">
        <v>210</v>
      </c>
      <c r="H597" s="128">
        <v>1992</v>
      </c>
      <c r="I597" s="128" t="s">
        <v>1662</v>
      </c>
      <c r="J597" s="128">
        <f t="shared" si="18"/>
        <v>25</v>
      </c>
      <c r="K597" s="128" t="s">
        <v>1688</v>
      </c>
      <c r="L597" s="128" t="s">
        <v>30</v>
      </c>
      <c r="M597" s="129" t="s">
        <v>1003</v>
      </c>
      <c r="N597" s="129" t="s">
        <v>28</v>
      </c>
      <c r="O597" s="129"/>
      <c r="P597" s="129" t="str">
        <f t="shared" si="19"/>
        <v/>
      </c>
      <c r="Q597" s="128" t="s">
        <v>1004</v>
      </c>
      <c r="R597" s="128">
        <v>0.93</v>
      </c>
      <c r="S597" s="130"/>
      <c r="T597" s="130"/>
      <c r="U597" s="152"/>
    </row>
    <row r="598" spans="1:21" ht="15.75" thickBot="1">
      <c r="A598" s="45" t="s">
        <v>1661</v>
      </c>
      <c r="B598" s="123"/>
      <c r="C598" s="123"/>
      <c r="D598" s="123"/>
      <c r="E598" s="123"/>
      <c r="F598" s="123"/>
      <c r="G598" s="127" t="s">
        <v>210</v>
      </c>
      <c r="H598" s="128">
        <v>1992</v>
      </c>
      <c r="I598" s="128" t="s">
        <v>1662</v>
      </c>
      <c r="J598" s="128">
        <f t="shared" si="18"/>
        <v>25</v>
      </c>
      <c r="K598" s="128" t="s">
        <v>1689</v>
      </c>
      <c r="L598" s="128" t="s">
        <v>40</v>
      </c>
      <c r="M598" s="129" t="s">
        <v>1003</v>
      </c>
      <c r="N598" s="129" t="s">
        <v>28</v>
      </c>
      <c r="O598" s="129"/>
      <c r="P598" s="129" t="str">
        <f t="shared" si="19"/>
        <v/>
      </c>
      <c r="Q598" s="128" t="s">
        <v>1004</v>
      </c>
      <c r="R598" s="128">
        <v>1.1599999999999999</v>
      </c>
      <c r="S598" s="130"/>
      <c r="T598" s="130"/>
      <c r="U598" s="152"/>
    </row>
    <row r="599" spans="1:21" ht="15.75" thickBot="1">
      <c r="A599" s="45" t="s">
        <v>1661</v>
      </c>
      <c r="B599" s="123"/>
      <c r="C599" s="123"/>
      <c r="D599" s="123"/>
      <c r="E599" s="123"/>
      <c r="F599" s="123"/>
      <c r="G599" s="127" t="s">
        <v>210</v>
      </c>
      <c r="H599" s="128">
        <v>1992</v>
      </c>
      <c r="I599" s="128" t="s">
        <v>1662</v>
      </c>
      <c r="J599" s="128">
        <f t="shared" si="18"/>
        <v>25</v>
      </c>
      <c r="K599" s="128" t="s">
        <v>1690</v>
      </c>
      <c r="L599" s="128" t="s">
        <v>30</v>
      </c>
      <c r="M599" s="129" t="s">
        <v>31</v>
      </c>
      <c r="N599" s="129" t="s">
        <v>28</v>
      </c>
      <c r="O599" s="129"/>
      <c r="P599" s="129" t="str">
        <f t="shared" si="19"/>
        <v/>
      </c>
      <c r="Q599" s="132" t="s">
        <v>1691</v>
      </c>
      <c r="R599" s="128">
        <v>6.03</v>
      </c>
      <c r="S599" s="130"/>
      <c r="T599" s="130" t="s">
        <v>31</v>
      </c>
      <c r="U599" s="152"/>
    </row>
    <row r="600" spans="1:21" ht="15.75" thickBot="1">
      <c r="A600" s="45" t="s">
        <v>1661</v>
      </c>
      <c r="B600" s="123"/>
      <c r="C600" s="123"/>
      <c r="D600" s="123"/>
      <c r="E600" s="123"/>
      <c r="F600" s="123"/>
      <c r="G600" s="127" t="s">
        <v>210</v>
      </c>
      <c r="H600" s="128">
        <v>1992</v>
      </c>
      <c r="I600" s="128" t="s">
        <v>1662</v>
      </c>
      <c r="J600" s="128">
        <f t="shared" si="18"/>
        <v>25</v>
      </c>
      <c r="K600" s="128" t="s">
        <v>290</v>
      </c>
      <c r="L600" s="128" t="s">
        <v>40</v>
      </c>
      <c r="M600" s="129" t="s">
        <v>31</v>
      </c>
      <c r="N600" s="129" t="s">
        <v>32</v>
      </c>
      <c r="O600" s="129"/>
      <c r="P600" s="129" t="str">
        <f t="shared" si="19"/>
        <v/>
      </c>
      <c r="Q600" s="128" t="s">
        <v>1692</v>
      </c>
      <c r="R600" s="128">
        <v>8.83</v>
      </c>
      <c r="S600" s="130"/>
      <c r="T600" s="130"/>
      <c r="U600" s="152"/>
    </row>
    <row r="601" spans="1:21" ht="15.75" thickBot="1">
      <c r="A601" s="45" t="s">
        <v>1661</v>
      </c>
      <c r="B601" s="123"/>
      <c r="C601" s="123"/>
      <c r="D601" s="123"/>
      <c r="E601" s="123"/>
      <c r="F601" s="123"/>
      <c r="G601" s="127" t="s">
        <v>210</v>
      </c>
      <c r="H601" s="128">
        <v>1992</v>
      </c>
      <c r="I601" s="128" t="s">
        <v>1662</v>
      </c>
      <c r="J601" s="128">
        <f t="shared" si="18"/>
        <v>25</v>
      </c>
      <c r="K601" s="128" t="s">
        <v>278</v>
      </c>
      <c r="L601" s="128" t="s">
        <v>30</v>
      </c>
      <c r="M601" s="129" t="s">
        <v>31</v>
      </c>
      <c r="N601" s="129" t="s">
        <v>32</v>
      </c>
      <c r="O601" s="129"/>
      <c r="P601" s="129" t="str">
        <f t="shared" si="19"/>
        <v/>
      </c>
      <c r="Q601" s="130"/>
      <c r="R601" s="128">
        <v>8.25</v>
      </c>
      <c r="S601" s="130"/>
      <c r="T601" s="130"/>
      <c r="U601" s="152"/>
    </row>
    <row r="602" spans="1:21" ht="15.75" thickBot="1">
      <c r="A602" s="45" t="s">
        <v>1661</v>
      </c>
      <c r="B602" s="123"/>
      <c r="C602" s="123"/>
      <c r="D602" s="123"/>
      <c r="E602" s="123"/>
      <c r="F602" s="123"/>
      <c r="G602" s="127" t="s">
        <v>210</v>
      </c>
      <c r="H602" s="128">
        <v>1992</v>
      </c>
      <c r="I602" s="128" t="s">
        <v>1662</v>
      </c>
      <c r="J602" s="128">
        <f t="shared" si="18"/>
        <v>25</v>
      </c>
      <c r="K602" s="128" t="s">
        <v>1693</v>
      </c>
      <c r="L602" s="128" t="s">
        <v>30</v>
      </c>
      <c r="M602" s="129" t="s">
        <v>34</v>
      </c>
      <c r="N602" s="129" t="s">
        <v>32</v>
      </c>
      <c r="O602" s="129"/>
      <c r="P602" s="129" t="str">
        <f t="shared" si="19"/>
        <v/>
      </c>
      <c r="Q602" s="130"/>
      <c r="R602" s="128">
        <v>8.5</v>
      </c>
      <c r="S602" s="130"/>
      <c r="T602" s="130"/>
      <c r="U602" s="152"/>
    </row>
    <row r="603" spans="1:21" ht="15.75" thickBot="1">
      <c r="A603" s="45" t="s">
        <v>1661</v>
      </c>
      <c r="B603" s="123"/>
      <c r="C603" s="123"/>
      <c r="D603" s="123"/>
      <c r="E603" s="123"/>
      <c r="F603" s="123"/>
      <c r="G603" s="127" t="s">
        <v>210</v>
      </c>
      <c r="H603" s="128">
        <v>1992</v>
      </c>
      <c r="I603" s="128" t="s">
        <v>1662</v>
      </c>
      <c r="J603" s="128">
        <f t="shared" si="18"/>
        <v>25</v>
      </c>
      <c r="K603" s="128" t="s">
        <v>1694</v>
      </c>
      <c r="L603" s="128" t="s">
        <v>30</v>
      </c>
      <c r="M603" s="129" t="s">
        <v>201</v>
      </c>
      <c r="N603" s="129" t="s">
        <v>28</v>
      </c>
      <c r="O603" s="129"/>
      <c r="P603" s="129" t="str">
        <f t="shared" si="19"/>
        <v/>
      </c>
      <c r="Q603" s="130"/>
      <c r="R603" s="128">
        <v>2.5099999999999998</v>
      </c>
      <c r="S603" s="130"/>
      <c r="T603" s="130"/>
      <c r="U603" s="152"/>
    </row>
    <row r="604" spans="1:21" ht="26.25" thickBot="1">
      <c r="A604" s="45" t="s">
        <v>1661</v>
      </c>
      <c r="B604" s="123"/>
      <c r="C604" s="123"/>
      <c r="D604" s="123"/>
      <c r="E604" s="123"/>
      <c r="F604" s="123"/>
      <c r="G604" s="127" t="s">
        <v>210</v>
      </c>
      <c r="H604" s="128">
        <v>1992</v>
      </c>
      <c r="I604" s="128" t="s">
        <v>1662</v>
      </c>
      <c r="J604" s="128">
        <f t="shared" si="18"/>
        <v>25</v>
      </c>
      <c r="K604" s="128" t="s">
        <v>1695</v>
      </c>
      <c r="L604" s="144" t="s">
        <v>40</v>
      </c>
      <c r="M604" s="129" t="s">
        <v>201</v>
      </c>
      <c r="N604" s="129" t="s">
        <v>32</v>
      </c>
      <c r="O604" s="129"/>
      <c r="P604" s="129" t="str">
        <f t="shared" si="19"/>
        <v/>
      </c>
      <c r="Q604" s="128" t="s">
        <v>1696</v>
      </c>
      <c r="R604" s="128">
        <v>8.48</v>
      </c>
      <c r="S604" s="130"/>
      <c r="T604" s="130" t="s">
        <v>1697</v>
      </c>
      <c r="U604" s="152"/>
    </row>
    <row r="605" spans="1:21" ht="15.75" thickBot="1">
      <c r="A605" s="45" t="s">
        <v>1698</v>
      </c>
      <c r="B605" s="123"/>
      <c r="C605" s="123"/>
      <c r="D605" s="123"/>
      <c r="E605" s="123"/>
      <c r="F605" s="123"/>
      <c r="G605" s="127" t="s">
        <v>210</v>
      </c>
      <c r="H605" s="128">
        <v>1993</v>
      </c>
      <c r="I605" s="128" t="s">
        <v>124</v>
      </c>
      <c r="J605" s="128">
        <f t="shared" si="18"/>
        <v>2</v>
      </c>
      <c r="K605" s="128" t="s">
        <v>1699</v>
      </c>
      <c r="L605" s="128" t="s">
        <v>40</v>
      </c>
      <c r="M605" s="129" t="s">
        <v>31</v>
      </c>
      <c r="N605" s="129" t="s">
        <v>32</v>
      </c>
      <c r="O605" s="129"/>
      <c r="P605" s="129" t="str">
        <f t="shared" si="19"/>
        <v/>
      </c>
      <c r="Q605" s="132" t="s">
        <v>1700</v>
      </c>
      <c r="R605" s="128">
        <v>63.4</v>
      </c>
      <c r="S605" s="130"/>
      <c r="T605" s="130" t="s">
        <v>31</v>
      </c>
      <c r="U605" s="152"/>
    </row>
    <row r="606" spans="1:21" ht="15.75" thickBot="1">
      <c r="A606" s="45" t="s">
        <v>1698</v>
      </c>
      <c r="B606" s="123"/>
      <c r="C606" s="123"/>
      <c r="D606" s="123"/>
      <c r="E606" s="123"/>
      <c r="F606" s="123"/>
      <c r="G606" s="127" t="s">
        <v>210</v>
      </c>
      <c r="H606" s="128">
        <v>1993</v>
      </c>
      <c r="I606" s="128" t="s">
        <v>124</v>
      </c>
      <c r="J606" s="128">
        <f t="shared" si="18"/>
        <v>2</v>
      </c>
      <c r="K606" s="128" t="s">
        <v>1701</v>
      </c>
      <c r="L606" s="128" t="s">
        <v>30</v>
      </c>
      <c r="M606" s="129" t="s">
        <v>1003</v>
      </c>
      <c r="N606" s="129" t="s">
        <v>28</v>
      </c>
      <c r="O606" s="129"/>
      <c r="P606" s="129" t="str">
        <f t="shared" si="19"/>
        <v/>
      </c>
      <c r="Q606" s="128" t="s">
        <v>1004</v>
      </c>
      <c r="R606" s="128">
        <v>36.6</v>
      </c>
      <c r="S606" s="130"/>
      <c r="T606" s="130"/>
      <c r="U606" s="152"/>
    </row>
    <row r="607" spans="1:21" ht="15.75" hidden="1" thickBot="1">
      <c r="A607" s="45" t="s">
        <v>1702</v>
      </c>
      <c r="B607" s="123"/>
      <c r="C607" s="123"/>
      <c r="D607" s="123"/>
      <c r="E607" s="123"/>
      <c r="F607" s="123"/>
      <c r="G607" s="127" t="s">
        <v>210</v>
      </c>
      <c r="H607" s="128">
        <v>1993</v>
      </c>
      <c r="I607" s="128" t="s">
        <v>230</v>
      </c>
      <c r="J607" s="128">
        <f t="shared" si="18"/>
        <v>2</v>
      </c>
      <c r="K607" s="128" t="s">
        <v>1665</v>
      </c>
      <c r="L607" s="128" t="s">
        <v>30</v>
      </c>
      <c r="M607" s="129" t="s">
        <v>1065</v>
      </c>
      <c r="N607" s="129" t="s">
        <v>28</v>
      </c>
      <c r="O607" s="129" t="s">
        <v>28</v>
      </c>
      <c r="P607" s="129" t="str">
        <f t="shared" si="19"/>
        <v>N/A</v>
      </c>
      <c r="Q607" s="130"/>
      <c r="R607" s="128">
        <v>14.8</v>
      </c>
      <c r="S607" s="130"/>
      <c r="T607" s="130"/>
      <c r="U607" s="152"/>
    </row>
    <row r="608" spans="1:21" ht="15.75" thickBot="1">
      <c r="A608" s="45" t="s">
        <v>1702</v>
      </c>
      <c r="B608" s="123"/>
      <c r="C608" s="123"/>
      <c r="D608" s="123"/>
      <c r="E608" s="123"/>
      <c r="F608" s="123"/>
      <c r="G608" s="127" t="s">
        <v>210</v>
      </c>
      <c r="H608" s="128">
        <v>1993</v>
      </c>
      <c r="I608" s="128" t="s">
        <v>230</v>
      </c>
      <c r="J608" s="128">
        <f t="shared" si="18"/>
        <v>2</v>
      </c>
      <c r="K608" s="128" t="s">
        <v>1703</v>
      </c>
      <c r="L608" s="128" t="s">
        <v>40</v>
      </c>
      <c r="M608" s="129" t="s">
        <v>31</v>
      </c>
      <c r="N608" s="129" t="s">
        <v>32</v>
      </c>
      <c r="O608" s="129"/>
      <c r="P608" s="129" t="str">
        <f t="shared" si="19"/>
        <v/>
      </c>
      <c r="Q608" s="128" t="s">
        <v>1704</v>
      </c>
      <c r="R608" s="128">
        <v>85.2</v>
      </c>
      <c r="S608" s="130"/>
      <c r="T608" s="130" t="s">
        <v>31</v>
      </c>
      <c r="U608" s="152"/>
    </row>
    <row r="609" spans="1:21" ht="15.75" thickBot="1">
      <c r="A609" s="45" t="s">
        <v>1705</v>
      </c>
      <c r="B609" s="123"/>
      <c r="C609" s="123"/>
      <c r="D609" s="123"/>
      <c r="E609" s="123"/>
      <c r="F609" s="123"/>
      <c r="G609" s="127" t="s">
        <v>210</v>
      </c>
      <c r="H609" s="128">
        <v>1994</v>
      </c>
      <c r="I609" s="128" t="s">
        <v>1662</v>
      </c>
      <c r="J609" s="128">
        <f t="shared" si="18"/>
        <v>24</v>
      </c>
      <c r="K609" s="128" t="s">
        <v>1706</v>
      </c>
      <c r="L609" s="128" t="s">
        <v>40</v>
      </c>
      <c r="M609" s="129" t="s">
        <v>1003</v>
      </c>
      <c r="N609" s="129" t="s">
        <v>28</v>
      </c>
      <c r="O609" s="129"/>
      <c r="P609" s="129" t="str">
        <f t="shared" si="19"/>
        <v/>
      </c>
      <c r="Q609" s="128" t="s">
        <v>1004</v>
      </c>
      <c r="R609" s="128">
        <v>4</v>
      </c>
      <c r="S609" s="130"/>
      <c r="T609" s="130"/>
      <c r="U609" s="152"/>
    </row>
    <row r="610" spans="1:21" ht="15.75" thickBot="1">
      <c r="A610" s="45" t="s">
        <v>1705</v>
      </c>
      <c r="B610" s="123"/>
      <c r="C610" s="123"/>
      <c r="D610" s="123"/>
      <c r="E610" s="123"/>
      <c r="F610" s="123"/>
      <c r="G610" s="127" t="s">
        <v>210</v>
      </c>
      <c r="H610" s="128">
        <v>1994</v>
      </c>
      <c r="I610" s="128" t="s">
        <v>1662</v>
      </c>
      <c r="J610" s="128">
        <f t="shared" si="18"/>
        <v>24</v>
      </c>
      <c r="K610" s="128" t="s">
        <v>1707</v>
      </c>
      <c r="L610" s="128" t="s">
        <v>40</v>
      </c>
      <c r="M610" s="129" t="s">
        <v>31</v>
      </c>
      <c r="N610" s="129" t="s">
        <v>28</v>
      </c>
      <c r="O610" s="129"/>
      <c r="P610" s="129" t="str">
        <f t="shared" si="19"/>
        <v/>
      </c>
      <c r="Q610" s="128" t="s">
        <v>1708</v>
      </c>
      <c r="R610" s="128">
        <v>9.6</v>
      </c>
      <c r="S610" s="130"/>
      <c r="T610" s="130" t="s">
        <v>31</v>
      </c>
      <c r="U610" s="152"/>
    </row>
    <row r="611" spans="1:21" ht="15.75" thickBot="1">
      <c r="A611" s="45" t="s">
        <v>1705</v>
      </c>
      <c r="B611" s="123"/>
      <c r="C611" s="123"/>
      <c r="D611" s="123"/>
      <c r="E611" s="123"/>
      <c r="F611" s="123"/>
      <c r="G611" s="127" t="s">
        <v>210</v>
      </c>
      <c r="H611" s="128">
        <v>1994</v>
      </c>
      <c r="I611" s="128" t="s">
        <v>1662</v>
      </c>
      <c r="J611" s="128">
        <f t="shared" si="18"/>
        <v>24</v>
      </c>
      <c r="K611" s="128" t="s">
        <v>1709</v>
      </c>
      <c r="L611" s="128" t="s">
        <v>30</v>
      </c>
      <c r="M611" s="129" t="s">
        <v>201</v>
      </c>
      <c r="N611" s="129" t="s">
        <v>28</v>
      </c>
      <c r="O611" s="129"/>
      <c r="P611" s="129" t="str">
        <f t="shared" si="19"/>
        <v/>
      </c>
      <c r="Q611" s="132" t="s">
        <v>1710</v>
      </c>
      <c r="R611" s="128">
        <v>2</v>
      </c>
      <c r="S611" s="130"/>
      <c r="T611" s="130" t="s">
        <v>998</v>
      </c>
      <c r="U611" s="152"/>
    </row>
    <row r="612" spans="1:21" ht="15.75" thickBot="1">
      <c r="A612" s="45" t="s">
        <v>1705</v>
      </c>
      <c r="B612" s="123"/>
      <c r="C612" s="123"/>
      <c r="D612" s="123"/>
      <c r="E612" s="123"/>
      <c r="F612" s="123"/>
      <c r="G612" s="127" t="s">
        <v>210</v>
      </c>
      <c r="H612" s="128">
        <v>1994</v>
      </c>
      <c r="I612" s="128" t="s">
        <v>1662</v>
      </c>
      <c r="J612" s="128">
        <f t="shared" si="18"/>
        <v>24</v>
      </c>
      <c r="K612" s="128" t="s">
        <v>1711</v>
      </c>
      <c r="L612" s="128" t="s">
        <v>30</v>
      </c>
      <c r="M612" s="129" t="s">
        <v>34</v>
      </c>
      <c r="N612" s="129" t="s">
        <v>28</v>
      </c>
      <c r="O612" s="129"/>
      <c r="P612" s="129" t="str">
        <f t="shared" si="19"/>
        <v/>
      </c>
      <c r="Q612" s="130"/>
      <c r="R612" s="128">
        <v>4.9000000000000004</v>
      </c>
      <c r="S612" s="130"/>
      <c r="T612" s="130"/>
      <c r="U612" s="152"/>
    </row>
    <row r="613" spans="1:21" ht="15.75" thickBot="1">
      <c r="A613" s="45" t="s">
        <v>1705</v>
      </c>
      <c r="B613" s="123"/>
      <c r="C613" s="123"/>
      <c r="D613" s="123"/>
      <c r="E613" s="123"/>
      <c r="F613" s="123"/>
      <c r="G613" s="127" t="s">
        <v>210</v>
      </c>
      <c r="H613" s="128">
        <v>1994</v>
      </c>
      <c r="I613" s="128" t="s">
        <v>1662</v>
      </c>
      <c r="J613" s="128">
        <f t="shared" si="18"/>
        <v>24</v>
      </c>
      <c r="K613" s="128" t="s">
        <v>1712</v>
      </c>
      <c r="L613" s="128" t="s">
        <v>40</v>
      </c>
      <c r="M613" s="129" t="s">
        <v>31</v>
      </c>
      <c r="N613" s="129" t="s">
        <v>32</v>
      </c>
      <c r="O613" s="129"/>
      <c r="P613" s="129" t="str">
        <f t="shared" si="19"/>
        <v/>
      </c>
      <c r="Q613" s="128" t="s">
        <v>1713</v>
      </c>
      <c r="R613" s="128">
        <v>12.1</v>
      </c>
      <c r="S613" s="130"/>
      <c r="T613" s="130" t="s">
        <v>31</v>
      </c>
      <c r="U613" s="152"/>
    </row>
    <row r="614" spans="1:21" ht="15.75" thickBot="1">
      <c r="A614" s="45" t="s">
        <v>1705</v>
      </c>
      <c r="B614" s="123"/>
      <c r="C614" s="123"/>
      <c r="D614" s="123"/>
      <c r="E614" s="123"/>
      <c r="F614" s="123"/>
      <c r="G614" s="127" t="s">
        <v>210</v>
      </c>
      <c r="H614" s="128">
        <v>1994</v>
      </c>
      <c r="I614" s="128" t="s">
        <v>1662</v>
      </c>
      <c r="J614" s="128">
        <f t="shared" si="18"/>
        <v>24</v>
      </c>
      <c r="K614" s="128" t="s">
        <v>1714</v>
      </c>
      <c r="L614" s="128" t="s">
        <v>30</v>
      </c>
      <c r="M614" s="129" t="s">
        <v>1065</v>
      </c>
      <c r="N614" s="129" t="s">
        <v>28</v>
      </c>
      <c r="O614" s="129"/>
      <c r="P614" s="129" t="str">
        <f t="shared" si="19"/>
        <v/>
      </c>
      <c r="Q614" s="130"/>
      <c r="R614" s="128">
        <v>1.6</v>
      </c>
      <c r="S614" s="130"/>
      <c r="T614" s="130"/>
      <c r="U614" s="152"/>
    </row>
    <row r="615" spans="1:21" ht="15.75" thickBot="1">
      <c r="A615" s="45" t="s">
        <v>1705</v>
      </c>
      <c r="B615" s="123"/>
      <c r="C615" s="123"/>
      <c r="D615" s="123"/>
      <c r="E615" s="123"/>
      <c r="F615" s="123"/>
      <c r="G615" s="127" t="s">
        <v>210</v>
      </c>
      <c r="H615" s="128">
        <v>1994</v>
      </c>
      <c r="I615" s="128" t="s">
        <v>1662</v>
      </c>
      <c r="J615" s="128">
        <f t="shared" si="18"/>
        <v>24</v>
      </c>
      <c r="K615" s="128" t="s">
        <v>1715</v>
      </c>
      <c r="L615" s="128" t="s">
        <v>30</v>
      </c>
      <c r="M615" s="153" t="s">
        <v>1003</v>
      </c>
      <c r="N615" s="129" t="s">
        <v>28</v>
      </c>
      <c r="O615" s="153"/>
      <c r="P615" s="129" t="str">
        <f t="shared" si="19"/>
        <v/>
      </c>
      <c r="Q615" s="128" t="s">
        <v>1004</v>
      </c>
      <c r="R615" s="128">
        <v>1</v>
      </c>
      <c r="S615" s="130"/>
      <c r="T615" s="130"/>
      <c r="U615" s="152"/>
    </row>
    <row r="616" spans="1:21" ht="15.75" thickBot="1">
      <c r="A616" s="45" t="s">
        <v>1705</v>
      </c>
      <c r="B616" s="123"/>
      <c r="C616" s="123"/>
      <c r="D616" s="123"/>
      <c r="E616" s="123"/>
      <c r="F616" s="123"/>
      <c r="G616" s="127" t="s">
        <v>210</v>
      </c>
      <c r="H616" s="128">
        <v>1994</v>
      </c>
      <c r="I616" s="128" t="s">
        <v>1662</v>
      </c>
      <c r="J616" s="128">
        <f t="shared" si="18"/>
        <v>24</v>
      </c>
      <c r="K616" s="128" t="s">
        <v>1716</v>
      </c>
      <c r="L616" s="128" t="s">
        <v>40</v>
      </c>
      <c r="M616" s="153" t="s">
        <v>1003</v>
      </c>
      <c r="N616" s="129" t="s">
        <v>28</v>
      </c>
      <c r="O616" s="153"/>
      <c r="P616" s="129" t="str">
        <f t="shared" si="19"/>
        <v/>
      </c>
      <c r="Q616" s="128" t="s">
        <v>1004</v>
      </c>
      <c r="R616" s="128">
        <v>1.1000000000000001</v>
      </c>
      <c r="S616" s="130"/>
      <c r="T616" s="130"/>
      <c r="U616" s="152"/>
    </row>
    <row r="617" spans="1:21" ht="15.75" thickBot="1">
      <c r="A617" s="45" t="s">
        <v>1705</v>
      </c>
      <c r="B617" s="123"/>
      <c r="C617" s="123"/>
      <c r="D617" s="123"/>
      <c r="E617" s="123"/>
      <c r="F617" s="123"/>
      <c r="G617" s="127" t="s">
        <v>210</v>
      </c>
      <c r="H617" s="128">
        <v>1994</v>
      </c>
      <c r="I617" s="128" t="s">
        <v>1662</v>
      </c>
      <c r="J617" s="128">
        <f t="shared" si="18"/>
        <v>24</v>
      </c>
      <c r="K617" s="128" t="s">
        <v>1717</v>
      </c>
      <c r="L617" s="128" t="s">
        <v>1672</v>
      </c>
      <c r="M617" s="153" t="s">
        <v>1003</v>
      </c>
      <c r="N617" s="129" t="s">
        <v>28</v>
      </c>
      <c r="O617" s="153"/>
      <c r="P617" s="129" t="str">
        <f t="shared" si="19"/>
        <v/>
      </c>
      <c r="Q617" s="128" t="s">
        <v>1004</v>
      </c>
      <c r="R617" s="128">
        <v>0.3</v>
      </c>
      <c r="S617" s="130"/>
      <c r="T617" s="130"/>
      <c r="U617" s="152"/>
    </row>
    <row r="618" spans="1:21" ht="15.75" thickBot="1">
      <c r="A618" s="45" t="s">
        <v>1705</v>
      </c>
      <c r="B618" s="123"/>
      <c r="C618" s="123"/>
      <c r="D618" s="123"/>
      <c r="E618" s="123"/>
      <c r="F618" s="123"/>
      <c r="G618" s="127" t="s">
        <v>210</v>
      </c>
      <c r="H618" s="128">
        <v>1994</v>
      </c>
      <c r="I618" s="128" t="s">
        <v>1662</v>
      </c>
      <c r="J618" s="128">
        <f t="shared" si="18"/>
        <v>24</v>
      </c>
      <c r="K618" s="128" t="s">
        <v>1718</v>
      </c>
      <c r="L618" s="128" t="s">
        <v>40</v>
      </c>
      <c r="M618" s="153" t="s">
        <v>1003</v>
      </c>
      <c r="N618" s="129" t="s">
        <v>28</v>
      </c>
      <c r="O618" s="153"/>
      <c r="P618" s="129" t="str">
        <f t="shared" si="19"/>
        <v/>
      </c>
      <c r="Q618" s="128" t="s">
        <v>1004</v>
      </c>
      <c r="R618" s="128">
        <v>1.1000000000000001</v>
      </c>
      <c r="S618" s="130"/>
      <c r="T618" s="130"/>
      <c r="U618" s="152"/>
    </row>
    <row r="619" spans="1:21" ht="15.75" thickBot="1">
      <c r="A619" s="45" t="s">
        <v>1705</v>
      </c>
      <c r="B619" s="123"/>
      <c r="C619" s="123"/>
      <c r="D619" s="123"/>
      <c r="E619" s="123"/>
      <c r="F619" s="123"/>
      <c r="G619" s="127" t="s">
        <v>210</v>
      </c>
      <c r="H619" s="128">
        <v>1994</v>
      </c>
      <c r="I619" s="128" t="s">
        <v>1662</v>
      </c>
      <c r="J619" s="128">
        <f t="shared" si="18"/>
        <v>24</v>
      </c>
      <c r="K619" s="128" t="s">
        <v>1719</v>
      </c>
      <c r="L619" s="128" t="s">
        <v>30</v>
      </c>
      <c r="M619" s="129" t="s">
        <v>1003</v>
      </c>
      <c r="N619" s="129" t="s">
        <v>28</v>
      </c>
      <c r="O619" s="129"/>
      <c r="P619" s="129" t="str">
        <f t="shared" si="19"/>
        <v/>
      </c>
      <c r="Q619" s="128" t="s">
        <v>1004</v>
      </c>
      <c r="R619" s="128">
        <v>2.1</v>
      </c>
      <c r="S619" s="130"/>
      <c r="T619" s="130"/>
      <c r="U619" s="152"/>
    </row>
    <row r="620" spans="1:21" ht="15.75" thickBot="1">
      <c r="A620" s="45" t="s">
        <v>1705</v>
      </c>
      <c r="B620" s="123"/>
      <c r="C620" s="123"/>
      <c r="D620" s="123"/>
      <c r="E620" s="123"/>
      <c r="F620" s="123"/>
      <c r="G620" s="127" t="s">
        <v>210</v>
      </c>
      <c r="H620" s="128">
        <v>1994</v>
      </c>
      <c r="I620" s="128" t="s">
        <v>1662</v>
      </c>
      <c r="J620" s="128">
        <f t="shared" si="18"/>
        <v>24</v>
      </c>
      <c r="K620" s="128" t="s">
        <v>1720</v>
      </c>
      <c r="L620" s="128" t="s">
        <v>40</v>
      </c>
      <c r="M620" s="129" t="s">
        <v>201</v>
      </c>
      <c r="N620" s="129" t="s">
        <v>28</v>
      </c>
      <c r="O620" s="129"/>
      <c r="P620" s="129" t="str">
        <f t="shared" si="19"/>
        <v/>
      </c>
      <c r="Q620" s="128" t="s">
        <v>1721</v>
      </c>
      <c r="R620" s="128">
        <v>1.2</v>
      </c>
      <c r="S620" s="130"/>
      <c r="T620" s="130" t="s">
        <v>1015</v>
      </c>
      <c r="U620" s="152"/>
    </row>
    <row r="621" spans="1:21" ht="15.75" thickBot="1">
      <c r="A621" s="45" t="s">
        <v>1705</v>
      </c>
      <c r="B621" s="123"/>
      <c r="C621" s="123"/>
      <c r="D621" s="123"/>
      <c r="E621" s="123"/>
      <c r="F621" s="123"/>
      <c r="G621" s="127" t="s">
        <v>210</v>
      </c>
      <c r="H621" s="128">
        <v>1994</v>
      </c>
      <c r="I621" s="128" t="s">
        <v>1662</v>
      </c>
      <c r="J621" s="128">
        <f t="shared" si="18"/>
        <v>24</v>
      </c>
      <c r="K621" s="128" t="s">
        <v>1722</v>
      </c>
      <c r="L621" s="128" t="s">
        <v>30</v>
      </c>
      <c r="M621" s="129" t="s">
        <v>31</v>
      </c>
      <c r="N621" s="129" t="s">
        <v>32</v>
      </c>
      <c r="O621" s="129"/>
      <c r="P621" s="129" t="str">
        <f t="shared" si="19"/>
        <v/>
      </c>
      <c r="Q621" s="128" t="s">
        <v>1723</v>
      </c>
      <c r="R621" s="128">
        <v>12.1</v>
      </c>
      <c r="S621" s="130"/>
      <c r="T621" s="130" t="s">
        <v>31</v>
      </c>
      <c r="U621" s="152"/>
    </row>
    <row r="622" spans="1:21" ht="15.75" thickBot="1">
      <c r="A622" s="45" t="s">
        <v>1705</v>
      </c>
      <c r="B622" s="123"/>
      <c r="C622" s="123"/>
      <c r="D622" s="123"/>
      <c r="E622" s="123"/>
      <c r="F622" s="123"/>
      <c r="G622" s="127" t="s">
        <v>210</v>
      </c>
      <c r="H622" s="128">
        <v>1994</v>
      </c>
      <c r="I622" s="128" t="s">
        <v>1662</v>
      </c>
      <c r="J622" s="128">
        <f t="shared" si="18"/>
        <v>24</v>
      </c>
      <c r="K622" s="128" t="s">
        <v>1724</v>
      </c>
      <c r="L622" s="128" t="s">
        <v>30</v>
      </c>
      <c r="M622" s="153" t="s">
        <v>1003</v>
      </c>
      <c r="N622" s="129" t="s">
        <v>28</v>
      </c>
      <c r="O622" s="153"/>
      <c r="P622" s="129" t="str">
        <f t="shared" si="19"/>
        <v/>
      </c>
      <c r="Q622" s="128" t="s">
        <v>1004</v>
      </c>
      <c r="R622" s="128">
        <v>0.9</v>
      </c>
      <c r="S622" s="130"/>
      <c r="T622" s="130"/>
      <c r="U622" s="152"/>
    </row>
    <row r="623" spans="1:21" ht="15.75" thickBot="1">
      <c r="A623" s="45" t="s">
        <v>1705</v>
      </c>
      <c r="B623" s="123"/>
      <c r="C623" s="123"/>
      <c r="D623" s="123"/>
      <c r="E623" s="123"/>
      <c r="F623" s="123"/>
      <c r="G623" s="127" t="s">
        <v>210</v>
      </c>
      <c r="H623" s="128">
        <v>1994</v>
      </c>
      <c r="I623" s="128" t="s">
        <v>1662</v>
      </c>
      <c r="J623" s="128">
        <f t="shared" si="18"/>
        <v>24</v>
      </c>
      <c r="K623" s="128" t="s">
        <v>1725</v>
      </c>
      <c r="L623" s="128" t="s">
        <v>40</v>
      </c>
      <c r="M623" s="129" t="s">
        <v>34</v>
      </c>
      <c r="N623" s="129" t="s">
        <v>32</v>
      </c>
      <c r="O623" s="129"/>
      <c r="P623" s="129" t="str">
        <f t="shared" si="19"/>
        <v/>
      </c>
      <c r="Q623" s="128" t="s">
        <v>1726</v>
      </c>
      <c r="R623" s="128">
        <v>10.5</v>
      </c>
      <c r="S623" s="130"/>
      <c r="T623" s="130"/>
      <c r="U623" s="152"/>
    </row>
    <row r="624" spans="1:21" ht="15.75" thickBot="1">
      <c r="A624" s="45" t="s">
        <v>1705</v>
      </c>
      <c r="B624" s="123"/>
      <c r="C624" s="123"/>
      <c r="D624" s="123"/>
      <c r="E624" s="123"/>
      <c r="F624" s="123"/>
      <c r="G624" s="127" t="s">
        <v>210</v>
      </c>
      <c r="H624" s="128">
        <v>1994</v>
      </c>
      <c r="I624" s="128" t="s">
        <v>1662</v>
      </c>
      <c r="J624" s="128">
        <f t="shared" si="18"/>
        <v>24</v>
      </c>
      <c r="K624" s="128" t="s">
        <v>1687</v>
      </c>
      <c r="L624" s="128" t="s">
        <v>40</v>
      </c>
      <c r="M624" s="129" t="s">
        <v>1065</v>
      </c>
      <c r="N624" s="129" t="s">
        <v>28</v>
      </c>
      <c r="O624" s="129"/>
      <c r="P624" s="129" t="str">
        <f t="shared" si="19"/>
        <v/>
      </c>
      <c r="Q624" s="130"/>
      <c r="R624" s="128">
        <v>1.6</v>
      </c>
      <c r="S624" s="130"/>
      <c r="T624" s="130"/>
      <c r="U624" s="152"/>
    </row>
    <row r="625" spans="1:21" ht="15.75" thickBot="1">
      <c r="A625" s="45" t="s">
        <v>1705</v>
      </c>
      <c r="B625" s="123"/>
      <c r="C625" s="123"/>
      <c r="D625" s="123"/>
      <c r="E625" s="123"/>
      <c r="F625" s="123"/>
      <c r="G625" s="127" t="s">
        <v>210</v>
      </c>
      <c r="H625" s="128">
        <v>1994</v>
      </c>
      <c r="I625" s="128" t="s">
        <v>1662</v>
      </c>
      <c r="J625" s="128">
        <f t="shared" si="18"/>
        <v>24</v>
      </c>
      <c r="K625" s="128" t="s">
        <v>1727</v>
      </c>
      <c r="L625" s="128" t="s">
        <v>30</v>
      </c>
      <c r="M625" s="153" t="s">
        <v>1003</v>
      </c>
      <c r="N625" s="129" t="s">
        <v>28</v>
      </c>
      <c r="O625" s="153"/>
      <c r="P625" s="129" t="str">
        <f t="shared" si="19"/>
        <v/>
      </c>
      <c r="Q625" s="128" t="s">
        <v>1004</v>
      </c>
      <c r="R625" s="128">
        <v>1.1000000000000001</v>
      </c>
      <c r="S625" s="130"/>
      <c r="T625" s="130"/>
      <c r="U625" s="152"/>
    </row>
    <row r="626" spans="1:21" ht="15.75" thickBot="1">
      <c r="A626" s="45" t="s">
        <v>1705</v>
      </c>
      <c r="B626" s="123"/>
      <c r="C626" s="123"/>
      <c r="D626" s="123"/>
      <c r="E626" s="123"/>
      <c r="F626" s="123"/>
      <c r="G626" s="127" t="s">
        <v>210</v>
      </c>
      <c r="H626" s="128">
        <v>1994</v>
      </c>
      <c r="I626" s="128" t="s">
        <v>1662</v>
      </c>
      <c r="J626" s="128">
        <f t="shared" si="18"/>
        <v>24</v>
      </c>
      <c r="K626" s="128" t="s">
        <v>1728</v>
      </c>
      <c r="L626" s="128" t="s">
        <v>40</v>
      </c>
      <c r="M626" s="153" t="s">
        <v>1003</v>
      </c>
      <c r="N626" s="129" t="s">
        <v>28</v>
      </c>
      <c r="O626" s="153"/>
      <c r="P626" s="129" t="str">
        <f t="shared" si="19"/>
        <v/>
      </c>
      <c r="Q626" s="128" t="s">
        <v>1004</v>
      </c>
      <c r="R626" s="128">
        <v>0.6</v>
      </c>
      <c r="S626" s="130"/>
      <c r="T626" s="130"/>
      <c r="U626" s="152"/>
    </row>
    <row r="627" spans="1:21" ht="15.75" thickBot="1">
      <c r="A627" s="45" t="s">
        <v>1705</v>
      </c>
      <c r="B627" s="123"/>
      <c r="C627" s="123"/>
      <c r="D627" s="123"/>
      <c r="E627" s="123"/>
      <c r="F627" s="123"/>
      <c r="G627" s="127" t="s">
        <v>210</v>
      </c>
      <c r="H627" s="128">
        <v>1994</v>
      </c>
      <c r="I627" s="128" t="s">
        <v>1662</v>
      </c>
      <c r="J627" s="128">
        <f t="shared" si="18"/>
        <v>24</v>
      </c>
      <c r="K627" s="128" t="s">
        <v>1729</v>
      </c>
      <c r="L627" s="128" t="s">
        <v>30</v>
      </c>
      <c r="M627" s="153" t="s">
        <v>1003</v>
      </c>
      <c r="N627" s="129" t="s">
        <v>28</v>
      </c>
      <c r="O627" s="153"/>
      <c r="P627" s="129" t="str">
        <f t="shared" si="19"/>
        <v/>
      </c>
      <c r="Q627" s="128" t="s">
        <v>1004</v>
      </c>
      <c r="R627" s="128">
        <v>0.5</v>
      </c>
      <c r="S627" s="130"/>
      <c r="T627" s="130"/>
      <c r="U627" s="152"/>
    </row>
    <row r="628" spans="1:21" ht="15.75" thickBot="1">
      <c r="A628" s="45" t="s">
        <v>1705</v>
      </c>
      <c r="B628" s="123"/>
      <c r="C628" s="123"/>
      <c r="D628" s="123"/>
      <c r="E628" s="123"/>
      <c r="F628" s="123"/>
      <c r="G628" s="127" t="s">
        <v>210</v>
      </c>
      <c r="H628" s="128">
        <v>1994</v>
      </c>
      <c r="I628" s="128" t="s">
        <v>1662</v>
      </c>
      <c r="J628" s="128">
        <f t="shared" si="18"/>
        <v>24</v>
      </c>
      <c r="K628" s="128" t="s">
        <v>272</v>
      </c>
      <c r="L628" s="128" t="s">
        <v>40</v>
      </c>
      <c r="M628" s="129" t="s">
        <v>31</v>
      </c>
      <c r="N628" s="129" t="s">
        <v>32</v>
      </c>
      <c r="O628" s="129"/>
      <c r="P628" s="129" t="str">
        <f t="shared" si="19"/>
        <v/>
      </c>
      <c r="Q628" s="130"/>
      <c r="R628" s="128">
        <v>11.7</v>
      </c>
      <c r="S628" s="130"/>
      <c r="T628" s="130"/>
      <c r="U628" s="152"/>
    </row>
    <row r="629" spans="1:21" ht="15.75" thickBot="1">
      <c r="A629" s="45" t="s">
        <v>1705</v>
      </c>
      <c r="B629" s="123"/>
      <c r="C629" s="123"/>
      <c r="D629" s="123"/>
      <c r="E629" s="123"/>
      <c r="F629" s="123"/>
      <c r="G629" s="127" t="s">
        <v>210</v>
      </c>
      <c r="H629" s="128">
        <v>1994</v>
      </c>
      <c r="I629" s="128" t="s">
        <v>1662</v>
      </c>
      <c r="J629" s="128">
        <f t="shared" si="18"/>
        <v>24</v>
      </c>
      <c r="K629" s="128" t="s">
        <v>1730</v>
      </c>
      <c r="L629" s="128" t="s">
        <v>40</v>
      </c>
      <c r="M629" s="129" t="s">
        <v>1003</v>
      </c>
      <c r="N629" s="129" t="s">
        <v>28</v>
      </c>
      <c r="O629" s="129"/>
      <c r="P629" s="129" t="str">
        <f t="shared" si="19"/>
        <v/>
      </c>
      <c r="Q629" s="128" t="s">
        <v>1004</v>
      </c>
      <c r="R629" s="128">
        <v>4.7</v>
      </c>
      <c r="S629" s="130"/>
      <c r="T629" s="130"/>
      <c r="U629" s="152"/>
    </row>
    <row r="630" spans="1:21" ht="15.75" thickBot="1">
      <c r="A630" s="45" t="s">
        <v>1705</v>
      </c>
      <c r="B630" s="123"/>
      <c r="C630" s="123"/>
      <c r="D630" s="123"/>
      <c r="E630" s="123"/>
      <c r="F630" s="123"/>
      <c r="G630" s="127" t="s">
        <v>210</v>
      </c>
      <c r="H630" s="128">
        <v>1994</v>
      </c>
      <c r="I630" s="128" t="s">
        <v>1662</v>
      </c>
      <c r="J630" s="128">
        <f t="shared" si="18"/>
        <v>24</v>
      </c>
      <c r="K630" s="128" t="s">
        <v>1731</v>
      </c>
      <c r="L630" s="128" t="s">
        <v>30</v>
      </c>
      <c r="M630" s="129" t="s">
        <v>1003</v>
      </c>
      <c r="N630" s="129" t="s">
        <v>28</v>
      </c>
      <c r="O630" s="129"/>
      <c r="P630" s="129" t="str">
        <f t="shared" si="19"/>
        <v/>
      </c>
      <c r="Q630" s="128" t="s">
        <v>1004</v>
      </c>
      <c r="R630" s="128">
        <v>1.6</v>
      </c>
      <c r="S630" s="130"/>
      <c r="T630" s="130"/>
      <c r="U630" s="152"/>
    </row>
    <row r="631" spans="1:21" ht="15.75" thickBot="1">
      <c r="A631" s="45" t="s">
        <v>1705</v>
      </c>
      <c r="B631" s="123"/>
      <c r="C631" s="123"/>
      <c r="D631" s="123"/>
      <c r="E631" s="123"/>
      <c r="F631" s="123"/>
      <c r="G631" s="127" t="s">
        <v>210</v>
      </c>
      <c r="H631" s="128">
        <v>1994</v>
      </c>
      <c r="I631" s="128" t="s">
        <v>1662</v>
      </c>
      <c r="J631" s="128">
        <f t="shared" si="18"/>
        <v>24</v>
      </c>
      <c r="K631" s="128" t="s">
        <v>264</v>
      </c>
      <c r="L631" s="128" t="s">
        <v>30</v>
      </c>
      <c r="M631" s="129" t="s">
        <v>31</v>
      </c>
      <c r="N631" s="129" t="s">
        <v>32</v>
      </c>
      <c r="O631" s="129"/>
      <c r="P631" s="129" t="str">
        <f t="shared" si="19"/>
        <v/>
      </c>
      <c r="Q631" s="130"/>
      <c r="R631" s="128">
        <v>11.1</v>
      </c>
      <c r="S631" s="130"/>
      <c r="T631" s="130"/>
      <c r="U631" s="152"/>
    </row>
    <row r="632" spans="1:21" ht="15.75" thickBot="1">
      <c r="A632" s="45" t="s">
        <v>1705</v>
      </c>
      <c r="B632" s="123"/>
      <c r="C632" s="123"/>
      <c r="D632" s="123"/>
      <c r="E632" s="123"/>
      <c r="F632" s="123"/>
      <c r="G632" s="127" t="s">
        <v>210</v>
      </c>
      <c r="H632" s="128">
        <v>1994</v>
      </c>
      <c r="I632" s="128" t="s">
        <v>1662</v>
      </c>
      <c r="J632" s="128">
        <f t="shared" si="18"/>
        <v>24</v>
      </c>
      <c r="K632" s="128" t="s">
        <v>1732</v>
      </c>
      <c r="L632" s="128" t="s">
        <v>30</v>
      </c>
      <c r="M632" s="129" t="s">
        <v>201</v>
      </c>
      <c r="N632" s="129" t="s">
        <v>28</v>
      </c>
      <c r="O632" s="129"/>
      <c r="P632" s="129" t="str">
        <f t="shared" si="19"/>
        <v/>
      </c>
      <c r="Q632" s="128" t="s">
        <v>1733</v>
      </c>
      <c r="R632" s="128">
        <v>1.5</v>
      </c>
      <c r="S632" s="130"/>
      <c r="T632" s="130" t="s">
        <v>1015</v>
      </c>
      <c r="U632" s="152"/>
    </row>
    <row r="633" spans="1:21" ht="15.75" thickBot="1">
      <c r="A633" s="45" t="s">
        <v>1734</v>
      </c>
      <c r="B633" s="123"/>
      <c r="C633" s="123"/>
      <c r="D633" s="123"/>
      <c r="E633" s="123"/>
      <c r="F633" s="123"/>
      <c r="G633" s="127" t="s">
        <v>210</v>
      </c>
      <c r="H633" s="128">
        <v>1994</v>
      </c>
      <c r="I633" s="128" t="s">
        <v>1735</v>
      </c>
      <c r="J633" s="128">
        <f t="shared" si="18"/>
        <v>1</v>
      </c>
      <c r="K633" s="128" t="s">
        <v>283</v>
      </c>
      <c r="L633" s="128" t="s">
        <v>30</v>
      </c>
      <c r="M633" s="129" t="s">
        <v>31</v>
      </c>
      <c r="N633" s="129" t="s">
        <v>32</v>
      </c>
      <c r="O633" s="129"/>
      <c r="P633" s="129" t="str">
        <f t="shared" si="19"/>
        <v/>
      </c>
      <c r="Q633" s="130"/>
      <c r="R633" s="128">
        <v>100</v>
      </c>
      <c r="S633" s="130"/>
      <c r="T633" s="130"/>
      <c r="U633" s="152"/>
    </row>
    <row r="634" spans="1:21" ht="15.75" hidden="1" thickBot="1">
      <c r="A634" s="45">
        <v>1287</v>
      </c>
      <c r="B634" s="123"/>
      <c r="C634" s="123"/>
      <c r="D634" s="123"/>
      <c r="E634" s="123"/>
      <c r="F634" s="123"/>
      <c r="G634" s="127" t="s">
        <v>210</v>
      </c>
      <c r="H634" s="128">
        <v>1995</v>
      </c>
      <c r="I634" s="128" t="s">
        <v>38</v>
      </c>
      <c r="J634" s="128">
        <f t="shared" si="18"/>
        <v>8</v>
      </c>
      <c r="K634" s="128" t="s">
        <v>1666</v>
      </c>
      <c r="L634" s="128" t="s">
        <v>40</v>
      </c>
      <c r="M634" s="129" t="s">
        <v>31</v>
      </c>
      <c r="N634" s="129" t="s">
        <v>28</v>
      </c>
      <c r="O634" s="129" t="s">
        <v>28</v>
      </c>
      <c r="P634" s="129" t="str">
        <f t="shared" si="19"/>
        <v>N/A</v>
      </c>
      <c r="Q634" s="130"/>
      <c r="R634" s="128">
        <v>0.66</v>
      </c>
      <c r="S634" s="130"/>
      <c r="T634" s="130"/>
      <c r="U634" s="152"/>
    </row>
    <row r="635" spans="1:21" ht="15.75" thickBot="1">
      <c r="A635" s="45">
        <v>1287</v>
      </c>
      <c r="B635" s="123"/>
      <c r="C635" s="123"/>
      <c r="D635" s="123"/>
      <c r="E635" s="123"/>
      <c r="F635" s="123"/>
      <c r="G635" s="127" t="s">
        <v>210</v>
      </c>
      <c r="H635" s="128">
        <v>1995</v>
      </c>
      <c r="I635" s="128" t="s">
        <v>38</v>
      </c>
      <c r="J635" s="128">
        <f t="shared" si="18"/>
        <v>8</v>
      </c>
      <c r="K635" s="128" t="s">
        <v>1736</v>
      </c>
      <c r="L635" s="128" t="s">
        <v>30</v>
      </c>
      <c r="M635" s="129" t="s">
        <v>34</v>
      </c>
      <c r="N635" s="129" t="s">
        <v>28</v>
      </c>
      <c r="O635" s="129"/>
      <c r="P635" s="129" t="str">
        <f t="shared" si="19"/>
        <v/>
      </c>
      <c r="Q635" s="128" t="s">
        <v>1737</v>
      </c>
      <c r="R635" s="128">
        <v>3.02</v>
      </c>
      <c r="S635" s="130"/>
      <c r="T635" s="130" t="s">
        <v>1015</v>
      </c>
      <c r="U635" s="152"/>
    </row>
    <row r="636" spans="1:21" ht="15.75" thickBot="1">
      <c r="A636" s="45">
        <v>1287</v>
      </c>
      <c r="B636" s="123"/>
      <c r="C636" s="123"/>
      <c r="D636" s="123"/>
      <c r="E636" s="123"/>
      <c r="F636" s="123"/>
      <c r="G636" s="127" t="s">
        <v>210</v>
      </c>
      <c r="H636" s="128">
        <v>1995</v>
      </c>
      <c r="I636" s="128" t="s">
        <v>38</v>
      </c>
      <c r="J636" s="128">
        <f t="shared" si="18"/>
        <v>8</v>
      </c>
      <c r="K636" s="128" t="s">
        <v>1738</v>
      </c>
      <c r="L636" s="128" t="s">
        <v>30</v>
      </c>
      <c r="M636" s="129" t="s">
        <v>31</v>
      </c>
      <c r="N636" s="129" t="s">
        <v>28</v>
      </c>
      <c r="O636" s="129"/>
      <c r="P636" s="129" t="str">
        <f t="shared" si="19"/>
        <v/>
      </c>
      <c r="Q636" s="128" t="s">
        <v>1739</v>
      </c>
      <c r="R636" s="128">
        <v>0.35</v>
      </c>
      <c r="S636" s="130"/>
      <c r="T636" s="130" t="s">
        <v>31</v>
      </c>
      <c r="U636" s="152"/>
    </row>
    <row r="637" spans="1:21" ht="15.75" thickBot="1">
      <c r="A637" s="45">
        <v>1287</v>
      </c>
      <c r="B637" s="123"/>
      <c r="C637" s="123"/>
      <c r="D637" s="123"/>
      <c r="E637" s="123"/>
      <c r="F637" s="123"/>
      <c r="G637" s="127" t="s">
        <v>210</v>
      </c>
      <c r="H637" s="128">
        <v>1995</v>
      </c>
      <c r="I637" s="128" t="s">
        <v>38</v>
      </c>
      <c r="J637" s="128">
        <f t="shared" si="18"/>
        <v>8</v>
      </c>
      <c r="K637" s="128" t="s">
        <v>1740</v>
      </c>
      <c r="L637" s="128" t="s">
        <v>1672</v>
      </c>
      <c r="M637" s="129" t="s">
        <v>1003</v>
      </c>
      <c r="N637" s="129" t="s">
        <v>28</v>
      </c>
      <c r="O637" s="129"/>
      <c r="P637" s="129" t="str">
        <f t="shared" si="19"/>
        <v/>
      </c>
      <c r="Q637" s="128" t="s">
        <v>1004</v>
      </c>
      <c r="R637" s="128">
        <v>0.09</v>
      </c>
      <c r="S637" s="130"/>
      <c r="T637" s="130"/>
      <c r="U637" s="152"/>
    </row>
    <row r="638" spans="1:21" ht="15.75" thickBot="1">
      <c r="A638" s="45">
        <v>1287</v>
      </c>
      <c r="B638" s="123"/>
      <c r="C638" s="123"/>
      <c r="D638" s="123"/>
      <c r="E638" s="123"/>
      <c r="F638" s="123"/>
      <c r="G638" s="127" t="s">
        <v>210</v>
      </c>
      <c r="H638" s="128">
        <v>1995</v>
      </c>
      <c r="I638" s="128" t="s">
        <v>38</v>
      </c>
      <c r="J638" s="128">
        <f t="shared" si="18"/>
        <v>8</v>
      </c>
      <c r="K638" s="128" t="s">
        <v>1741</v>
      </c>
      <c r="L638" s="128" t="s">
        <v>30</v>
      </c>
      <c r="M638" s="129" t="s">
        <v>31</v>
      </c>
      <c r="N638" s="129" t="s">
        <v>28</v>
      </c>
      <c r="O638" s="129"/>
      <c r="P638" s="129" t="str">
        <f t="shared" si="19"/>
        <v/>
      </c>
      <c r="Q638" s="128" t="s">
        <v>1742</v>
      </c>
      <c r="R638" s="128">
        <v>33.659999999999997</v>
      </c>
      <c r="S638" s="130"/>
      <c r="T638" s="130" t="s">
        <v>31</v>
      </c>
      <c r="U638" s="152"/>
    </row>
    <row r="639" spans="1:21" ht="15.75" thickBot="1">
      <c r="A639" s="45">
        <v>1287</v>
      </c>
      <c r="B639" s="123"/>
      <c r="C639" s="123"/>
      <c r="D639" s="123"/>
      <c r="E639" s="123"/>
      <c r="F639" s="123"/>
      <c r="G639" s="127" t="s">
        <v>210</v>
      </c>
      <c r="H639" s="128">
        <v>1995</v>
      </c>
      <c r="I639" s="128" t="s">
        <v>38</v>
      </c>
      <c r="J639" s="128">
        <f t="shared" si="18"/>
        <v>8</v>
      </c>
      <c r="K639" s="128" t="s">
        <v>1743</v>
      </c>
      <c r="L639" s="128" t="s">
        <v>30</v>
      </c>
      <c r="M639" s="129" t="s">
        <v>31</v>
      </c>
      <c r="N639" s="129" t="s">
        <v>28</v>
      </c>
      <c r="O639" s="129"/>
      <c r="P639" s="129" t="str">
        <f t="shared" si="19"/>
        <v/>
      </c>
      <c r="Q639" s="130"/>
      <c r="R639" s="128">
        <v>0.61</v>
      </c>
      <c r="S639" s="130"/>
      <c r="T639" s="130"/>
      <c r="U639" s="152"/>
    </row>
    <row r="640" spans="1:21" ht="15.75" thickBot="1">
      <c r="A640" s="45">
        <v>1287</v>
      </c>
      <c r="B640" s="123"/>
      <c r="C640" s="123"/>
      <c r="D640" s="123"/>
      <c r="E640" s="123"/>
      <c r="F640" s="123"/>
      <c r="G640" s="127" t="s">
        <v>210</v>
      </c>
      <c r="H640" s="128">
        <v>1995</v>
      </c>
      <c r="I640" s="128" t="s">
        <v>38</v>
      </c>
      <c r="J640" s="128">
        <f t="shared" si="18"/>
        <v>8</v>
      </c>
      <c r="K640" s="128" t="s">
        <v>1744</v>
      </c>
      <c r="L640" s="128" t="s">
        <v>40</v>
      </c>
      <c r="M640" s="129" t="s">
        <v>31</v>
      </c>
      <c r="N640" s="129" t="s">
        <v>28</v>
      </c>
      <c r="O640" s="129"/>
      <c r="P640" s="129" t="str">
        <f t="shared" si="19"/>
        <v/>
      </c>
      <c r="Q640" s="128" t="s">
        <v>1745</v>
      </c>
      <c r="R640" s="128">
        <v>26.9</v>
      </c>
      <c r="S640" s="130"/>
      <c r="T640" s="130" t="s">
        <v>31</v>
      </c>
      <c r="U640" s="152"/>
    </row>
    <row r="641" spans="1:21" ht="15.75" thickBot="1">
      <c r="A641" s="45">
        <v>1287</v>
      </c>
      <c r="B641" s="123"/>
      <c r="C641" s="123"/>
      <c r="D641" s="123"/>
      <c r="E641" s="123"/>
      <c r="F641" s="123"/>
      <c r="G641" s="127" t="s">
        <v>210</v>
      </c>
      <c r="H641" s="128">
        <v>1995</v>
      </c>
      <c r="I641" s="128" t="s">
        <v>38</v>
      </c>
      <c r="J641" s="128">
        <f t="shared" si="18"/>
        <v>8</v>
      </c>
      <c r="K641" s="128" t="s">
        <v>1746</v>
      </c>
      <c r="L641" s="128" t="s">
        <v>30</v>
      </c>
      <c r="M641" s="129" t="s">
        <v>201</v>
      </c>
      <c r="N641" s="129" t="s">
        <v>32</v>
      </c>
      <c r="O641" s="129"/>
      <c r="P641" s="129" t="str">
        <f t="shared" si="19"/>
        <v/>
      </c>
      <c r="Q641" s="130"/>
      <c r="R641" s="128">
        <v>34.71</v>
      </c>
      <c r="S641" s="128">
        <v>56.68</v>
      </c>
      <c r="T641" s="130"/>
      <c r="U641" s="152"/>
    </row>
    <row r="642" spans="1:21" ht="15.75" thickBot="1">
      <c r="A642" s="45" t="s">
        <v>1747</v>
      </c>
      <c r="B642" s="123"/>
      <c r="C642" s="123"/>
      <c r="D642" s="123"/>
      <c r="E642" s="123"/>
      <c r="F642" s="123"/>
      <c r="G642" s="127" t="s">
        <v>210</v>
      </c>
      <c r="H642" s="128">
        <v>1995</v>
      </c>
      <c r="I642" s="128" t="s">
        <v>1748</v>
      </c>
      <c r="J642" s="128">
        <f t="shared" ref="J642:J705" si="20">COUNTIF(A$2:A$2215, A642)</f>
        <v>3</v>
      </c>
      <c r="K642" s="128" t="s">
        <v>1749</v>
      </c>
      <c r="L642" s="128" t="s">
        <v>30</v>
      </c>
      <c r="M642" s="129" t="s">
        <v>31</v>
      </c>
      <c r="N642" s="129" t="s">
        <v>28</v>
      </c>
      <c r="O642" s="129"/>
      <c r="P642" s="129" t="str">
        <f t="shared" si="19"/>
        <v/>
      </c>
      <c r="Q642" s="128" t="s">
        <v>1750</v>
      </c>
      <c r="R642" s="128">
        <v>26.35</v>
      </c>
      <c r="S642" s="130"/>
      <c r="T642" s="130" t="s">
        <v>31</v>
      </c>
      <c r="U642" s="152"/>
    </row>
    <row r="643" spans="1:21" ht="15.75" thickBot="1">
      <c r="A643" s="45" t="s">
        <v>1747</v>
      </c>
      <c r="B643" s="123"/>
      <c r="C643" s="123"/>
      <c r="D643" s="123"/>
      <c r="E643" s="123"/>
      <c r="F643" s="123"/>
      <c r="G643" s="127" t="s">
        <v>210</v>
      </c>
      <c r="H643" s="128">
        <v>1995</v>
      </c>
      <c r="I643" s="128" t="s">
        <v>1748</v>
      </c>
      <c r="J643" s="128">
        <f t="shared" si="20"/>
        <v>3</v>
      </c>
      <c r="K643" s="128" t="s">
        <v>1751</v>
      </c>
      <c r="L643" s="128" t="s">
        <v>30</v>
      </c>
      <c r="M643" s="129" t="s">
        <v>1752</v>
      </c>
      <c r="N643" s="129" t="s">
        <v>28</v>
      </c>
      <c r="O643" s="129"/>
      <c r="P643" s="129" t="str">
        <f t="shared" ref="P643:P706" si="21">IF(O643="N", "N/A", IF(AND(N643="N",  O643="Y"), "N", IF(AND(O643="Y", N643="Y"), "Y", "")))</f>
        <v/>
      </c>
      <c r="Q643" s="130"/>
      <c r="R643" s="128">
        <v>35.68</v>
      </c>
      <c r="S643" s="128">
        <v>47.9</v>
      </c>
      <c r="T643" s="130"/>
      <c r="U643" s="152"/>
    </row>
    <row r="644" spans="1:21" ht="15.75" thickBot="1">
      <c r="A644" s="45" t="s">
        <v>1747</v>
      </c>
      <c r="B644" s="123"/>
      <c r="C644" s="123"/>
      <c r="D644" s="123"/>
      <c r="E644" s="123"/>
      <c r="F644" s="123"/>
      <c r="G644" s="127" t="s">
        <v>210</v>
      </c>
      <c r="H644" s="128">
        <v>1995</v>
      </c>
      <c r="I644" s="128" t="s">
        <v>1748</v>
      </c>
      <c r="J644" s="128">
        <f t="shared" si="20"/>
        <v>3</v>
      </c>
      <c r="K644" s="128" t="s">
        <v>1753</v>
      </c>
      <c r="L644" s="128" t="s">
        <v>30</v>
      </c>
      <c r="M644" s="129" t="s">
        <v>31</v>
      </c>
      <c r="N644" s="129" t="s">
        <v>32</v>
      </c>
      <c r="O644" s="129"/>
      <c r="P644" s="129" t="str">
        <f t="shared" si="21"/>
        <v/>
      </c>
      <c r="Q644" s="130"/>
      <c r="R644" s="128">
        <v>37.96</v>
      </c>
      <c r="S644" s="128">
        <v>52.1</v>
      </c>
      <c r="T644" s="130"/>
      <c r="U644" s="152"/>
    </row>
    <row r="645" spans="1:21" ht="15.75" hidden="1" thickBot="1">
      <c r="A645" s="45">
        <v>1280</v>
      </c>
      <c r="B645" s="45">
        <v>1281</v>
      </c>
      <c r="C645" s="45">
        <v>1282</v>
      </c>
      <c r="D645" s="45">
        <v>1283</v>
      </c>
      <c r="E645" s="45">
        <v>1284</v>
      </c>
      <c r="F645" s="45">
        <v>1285</v>
      </c>
      <c r="G645" s="127" t="s">
        <v>210</v>
      </c>
      <c r="H645" s="128">
        <v>1996</v>
      </c>
      <c r="I645" s="128" t="s">
        <v>1662</v>
      </c>
      <c r="J645" s="128">
        <f t="shared" si="20"/>
        <v>28</v>
      </c>
      <c r="K645" s="128" t="s">
        <v>286</v>
      </c>
      <c r="L645" s="128" t="s">
        <v>40</v>
      </c>
      <c r="M645" s="129" t="s">
        <v>31</v>
      </c>
      <c r="N645" s="129" t="s">
        <v>32</v>
      </c>
      <c r="O645" s="129" t="s">
        <v>32</v>
      </c>
      <c r="P645" s="129" t="str">
        <f t="shared" si="21"/>
        <v>Y</v>
      </c>
      <c r="Q645" s="128" t="s">
        <v>1754</v>
      </c>
      <c r="R645" s="128">
        <v>10.4</v>
      </c>
      <c r="S645" s="130"/>
      <c r="T645" s="128" t="s">
        <v>31</v>
      </c>
      <c r="U645" s="152"/>
    </row>
    <row r="646" spans="1:21" ht="15.75" thickBot="1">
      <c r="A646" s="45">
        <v>1280</v>
      </c>
      <c r="B646" s="45">
        <v>1281</v>
      </c>
      <c r="C646" s="45">
        <v>1282</v>
      </c>
      <c r="D646" s="45">
        <v>1283</v>
      </c>
      <c r="E646" s="45">
        <v>1284</v>
      </c>
      <c r="F646" s="45">
        <v>1285</v>
      </c>
      <c r="G646" s="127" t="s">
        <v>210</v>
      </c>
      <c r="H646" s="128">
        <v>1996</v>
      </c>
      <c r="I646" s="128" t="s">
        <v>1662</v>
      </c>
      <c r="J646" s="128">
        <f t="shared" si="20"/>
        <v>28</v>
      </c>
      <c r="K646" s="128" t="s">
        <v>1755</v>
      </c>
      <c r="L646" s="128" t="s">
        <v>30</v>
      </c>
      <c r="M646" s="129" t="s">
        <v>31</v>
      </c>
      <c r="N646" s="129" t="s">
        <v>28</v>
      </c>
      <c r="O646" s="129"/>
      <c r="P646" s="129" t="str">
        <f t="shared" si="21"/>
        <v/>
      </c>
      <c r="Q646" s="128" t="s">
        <v>1756</v>
      </c>
      <c r="R646" s="128">
        <v>2.5</v>
      </c>
      <c r="S646" s="130"/>
      <c r="T646" s="130" t="s">
        <v>31</v>
      </c>
      <c r="U646" s="152"/>
    </row>
    <row r="647" spans="1:21" ht="15.75" hidden="1" thickBot="1">
      <c r="A647" s="45">
        <v>1280</v>
      </c>
      <c r="B647" s="45">
        <v>1281</v>
      </c>
      <c r="C647" s="45">
        <v>1282</v>
      </c>
      <c r="D647" s="45">
        <v>1283</v>
      </c>
      <c r="E647" s="45">
        <v>1284</v>
      </c>
      <c r="F647" s="45">
        <v>1285</v>
      </c>
      <c r="G647" s="127" t="s">
        <v>210</v>
      </c>
      <c r="H647" s="128">
        <v>1996</v>
      </c>
      <c r="I647" s="128" t="s">
        <v>1662</v>
      </c>
      <c r="J647" s="128">
        <f t="shared" si="20"/>
        <v>28</v>
      </c>
      <c r="K647" s="128" t="s">
        <v>1757</v>
      </c>
      <c r="L647" s="128" t="s">
        <v>30</v>
      </c>
      <c r="M647" s="129" t="s">
        <v>201</v>
      </c>
      <c r="N647" s="129" t="s">
        <v>28</v>
      </c>
      <c r="O647" s="129" t="s">
        <v>28</v>
      </c>
      <c r="P647" s="129" t="str">
        <f t="shared" si="21"/>
        <v>N/A</v>
      </c>
      <c r="Q647" s="130"/>
      <c r="R647" s="128">
        <v>2.5</v>
      </c>
      <c r="S647" s="130"/>
      <c r="T647" s="130"/>
      <c r="U647" s="152"/>
    </row>
    <row r="648" spans="1:21" ht="15.75" thickBot="1">
      <c r="A648" s="45">
        <v>1280</v>
      </c>
      <c r="B648" s="45">
        <v>1281</v>
      </c>
      <c r="C648" s="45">
        <v>1282</v>
      </c>
      <c r="D648" s="45">
        <v>1283</v>
      </c>
      <c r="E648" s="45">
        <v>1284</v>
      </c>
      <c r="F648" s="45">
        <v>1285</v>
      </c>
      <c r="G648" s="127" t="s">
        <v>210</v>
      </c>
      <c r="H648" s="128">
        <v>1996</v>
      </c>
      <c r="I648" s="128" t="s">
        <v>1662</v>
      </c>
      <c r="J648" s="128">
        <f t="shared" si="20"/>
        <v>28</v>
      </c>
      <c r="K648" s="128" t="s">
        <v>1758</v>
      </c>
      <c r="L648" s="128" t="s">
        <v>30</v>
      </c>
      <c r="M648" s="129" t="s">
        <v>1759</v>
      </c>
      <c r="N648" s="129" t="s">
        <v>28</v>
      </c>
      <c r="O648" s="129"/>
      <c r="P648" s="129" t="str">
        <f t="shared" si="21"/>
        <v/>
      </c>
      <c r="Q648" s="128" t="s">
        <v>1760</v>
      </c>
      <c r="R648" s="128">
        <v>1.92</v>
      </c>
      <c r="S648" s="130"/>
      <c r="T648" s="130"/>
      <c r="U648" s="152"/>
    </row>
    <row r="649" spans="1:21" ht="15.75" thickBot="1">
      <c r="A649" s="45">
        <v>1280</v>
      </c>
      <c r="B649" s="45">
        <v>1281</v>
      </c>
      <c r="C649" s="45">
        <v>1282</v>
      </c>
      <c r="D649" s="45">
        <v>1283</v>
      </c>
      <c r="E649" s="45">
        <v>1284</v>
      </c>
      <c r="F649" s="45">
        <v>1285</v>
      </c>
      <c r="G649" s="127" t="s">
        <v>210</v>
      </c>
      <c r="H649" s="128">
        <v>1996</v>
      </c>
      <c r="I649" s="128" t="s">
        <v>1662</v>
      </c>
      <c r="J649" s="128">
        <f t="shared" si="20"/>
        <v>28</v>
      </c>
      <c r="K649" s="128" t="s">
        <v>1761</v>
      </c>
      <c r="L649" s="128" t="s">
        <v>30</v>
      </c>
      <c r="M649" s="129" t="s">
        <v>1065</v>
      </c>
      <c r="N649" s="129" t="s">
        <v>28</v>
      </c>
      <c r="O649" s="129"/>
      <c r="P649" s="129" t="str">
        <f t="shared" si="21"/>
        <v/>
      </c>
      <c r="Q649" s="130"/>
      <c r="R649" s="128">
        <v>1.44</v>
      </c>
      <c r="S649" s="130"/>
      <c r="T649" s="130"/>
      <c r="U649" s="152"/>
    </row>
    <row r="650" spans="1:21" ht="15.75" thickBot="1">
      <c r="A650" s="45">
        <v>1280</v>
      </c>
      <c r="B650" s="45">
        <v>1281</v>
      </c>
      <c r="C650" s="45">
        <v>1282</v>
      </c>
      <c r="D650" s="45">
        <v>1283</v>
      </c>
      <c r="E650" s="45">
        <v>1284</v>
      </c>
      <c r="F650" s="45">
        <v>1285</v>
      </c>
      <c r="G650" s="127" t="s">
        <v>210</v>
      </c>
      <c r="H650" s="128">
        <v>1996</v>
      </c>
      <c r="I650" s="128" t="s">
        <v>1662</v>
      </c>
      <c r="J650" s="128">
        <f t="shared" si="20"/>
        <v>28</v>
      </c>
      <c r="K650" s="128" t="s">
        <v>1762</v>
      </c>
      <c r="L650" s="128" t="s">
        <v>40</v>
      </c>
      <c r="M650" s="129" t="s">
        <v>31</v>
      </c>
      <c r="N650" s="129" t="s">
        <v>28</v>
      </c>
      <c r="O650" s="129"/>
      <c r="P650" s="129" t="str">
        <f t="shared" si="21"/>
        <v/>
      </c>
      <c r="Q650" s="128" t="s">
        <v>1763</v>
      </c>
      <c r="R650" s="128">
        <v>4.6900000000000004</v>
      </c>
      <c r="S650" s="130"/>
      <c r="T650" s="130" t="s">
        <v>31</v>
      </c>
      <c r="U650" s="152"/>
    </row>
    <row r="651" spans="1:21" ht="15.75" thickBot="1">
      <c r="A651" s="45">
        <v>1280</v>
      </c>
      <c r="B651" s="45">
        <v>1281</v>
      </c>
      <c r="C651" s="45">
        <v>1282</v>
      </c>
      <c r="D651" s="45">
        <v>1283</v>
      </c>
      <c r="E651" s="45">
        <v>1284</v>
      </c>
      <c r="F651" s="45">
        <v>1285</v>
      </c>
      <c r="G651" s="127" t="s">
        <v>210</v>
      </c>
      <c r="H651" s="128">
        <v>1996</v>
      </c>
      <c r="I651" s="128" t="s">
        <v>1662</v>
      </c>
      <c r="J651" s="128">
        <f t="shared" si="20"/>
        <v>28</v>
      </c>
      <c r="K651" s="128" t="s">
        <v>1764</v>
      </c>
      <c r="L651" s="128" t="s">
        <v>40</v>
      </c>
      <c r="M651" s="129" t="s">
        <v>31</v>
      </c>
      <c r="N651" s="129" t="s">
        <v>28</v>
      </c>
      <c r="O651" s="129"/>
      <c r="P651" s="129" t="str">
        <f t="shared" si="21"/>
        <v/>
      </c>
      <c r="Q651" s="130"/>
      <c r="R651" s="128">
        <v>3.68</v>
      </c>
      <c r="S651" s="130"/>
      <c r="T651" s="130"/>
      <c r="U651" s="152"/>
    </row>
    <row r="652" spans="1:21" ht="15.75" thickBot="1">
      <c r="A652" s="45">
        <v>1280</v>
      </c>
      <c r="B652" s="45">
        <v>1281</v>
      </c>
      <c r="C652" s="45">
        <v>1282</v>
      </c>
      <c r="D652" s="45">
        <v>1283</v>
      </c>
      <c r="E652" s="45">
        <v>1284</v>
      </c>
      <c r="F652" s="45">
        <v>1285</v>
      </c>
      <c r="G652" s="127" t="s">
        <v>210</v>
      </c>
      <c r="H652" s="128">
        <v>1996</v>
      </c>
      <c r="I652" s="128" t="s">
        <v>1662</v>
      </c>
      <c r="J652" s="128">
        <f t="shared" si="20"/>
        <v>28</v>
      </c>
      <c r="K652" s="128" t="s">
        <v>1765</v>
      </c>
      <c r="L652" s="128" t="s">
        <v>1672</v>
      </c>
      <c r="M652" s="129" t="s">
        <v>1003</v>
      </c>
      <c r="N652" s="129" t="s">
        <v>28</v>
      </c>
      <c r="O652" s="129"/>
      <c r="P652" s="129" t="str">
        <f t="shared" si="21"/>
        <v/>
      </c>
      <c r="Q652" s="128" t="s">
        <v>1004</v>
      </c>
      <c r="R652" s="128">
        <v>0.54</v>
      </c>
      <c r="S652" s="130"/>
      <c r="T652" s="130"/>
      <c r="U652" s="152"/>
    </row>
    <row r="653" spans="1:21" ht="15.75" thickBot="1">
      <c r="A653" s="45">
        <v>1280</v>
      </c>
      <c r="B653" s="45">
        <v>1281</v>
      </c>
      <c r="C653" s="45">
        <v>1282</v>
      </c>
      <c r="D653" s="45">
        <v>1283</v>
      </c>
      <c r="E653" s="45">
        <v>1284</v>
      </c>
      <c r="F653" s="45">
        <v>1285</v>
      </c>
      <c r="G653" s="127" t="s">
        <v>210</v>
      </c>
      <c r="H653" s="128">
        <v>1996</v>
      </c>
      <c r="I653" s="128" t="s">
        <v>1662</v>
      </c>
      <c r="J653" s="128">
        <f t="shared" si="20"/>
        <v>28</v>
      </c>
      <c r="K653" s="128" t="s">
        <v>1766</v>
      </c>
      <c r="L653" s="128" t="s">
        <v>30</v>
      </c>
      <c r="M653" s="129" t="s">
        <v>1003</v>
      </c>
      <c r="N653" s="129" t="s">
        <v>28</v>
      </c>
      <c r="O653" s="129"/>
      <c r="P653" s="129" t="str">
        <f t="shared" si="21"/>
        <v/>
      </c>
      <c r="Q653" s="128" t="s">
        <v>1004</v>
      </c>
      <c r="R653" s="128">
        <v>3.36</v>
      </c>
      <c r="S653" s="130"/>
      <c r="T653" s="130"/>
      <c r="U653" s="152"/>
    </row>
    <row r="654" spans="1:21" ht="15.75" thickBot="1">
      <c r="A654" s="45">
        <v>1280</v>
      </c>
      <c r="B654" s="45">
        <v>1281</v>
      </c>
      <c r="C654" s="45">
        <v>1282</v>
      </c>
      <c r="D654" s="45">
        <v>1283</v>
      </c>
      <c r="E654" s="45">
        <v>1284</v>
      </c>
      <c r="F654" s="45">
        <v>1285</v>
      </c>
      <c r="G654" s="127" t="s">
        <v>210</v>
      </c>
      <c r="H654" s="128">
        <v>1996</v>
      </c>
      <c r="I654" s="128" t="s">
        <v>1662</v>
      </c>
      <c r="J654" s="128">
        <f t="shared" si="20"/>
        <v>28</v>
      </c>
      <c r="K654" s="128" t="s">
        <v>1767</v>
      </c>
      <c r="L654" s="128" t="s">
        <v>30</v>
      </c>
      <c r="M654" s="129" t="s">
        <v>31</v>
      </c>
      <c r="N654" s="129" t="s">
        <v>28</v>
      </c>
      <c r="O654" s="129"/>
      <c r="P654" s="129" t="str">
        <f t="shared" si="21"/>
        <v/>
      </c>
      <c r="Q654" s="130"/>
      <c r="R654" s="128">
        <v>0.73</v>
      </c>
      <c r="S654" s="130"/>
      <c r="T654" s="130"/>
      <c r="U654" s="152"/>
    </row>
    <row r="655" spans="1:21" ht="15.75" thickBot="1">
      <c r="A655" s="45">
        <v>1280</v>
      </c>
      <c r="B655" s="45">
        <v>1281</v>
      </c>
      <c r="C655" s="45">
        <v>1282</v>
      </c>
      <c r="D655" s="45">
        <v>1283</v>
      </c>
      <c r="E655" s="45">
        <v>1284</v>
      </c>
      <c r="F655" s="45">
        <v>1285</v>
      </c>
      <c r="G655" s="127" t="s">
        <v>210</v>
      </c>
      <c r="H655" s="128">
        <v>1996</v>
      </c>
      <c r="I655" s="128" t="s">
        <v>1662</v>
      </c>
      <c r="J655" s="128">
        <f t="shared" si="20"/>
        <v>28</v>
      </c>
      <c r="K655" s="128" t="s">
        <v>287</v>
      </c>
      <c r="L655" s="128" t="s">
        <v>30</v>
      </c>
      <c r="M655" s="129" t="s">
        <v>1065</v>
      </c>
      <c r="N655" s="129" t="s">
        <v>32</v>
      </c>
      <c r="O655" s="129"/>
      <c r="P655" s="129" t="str">
        <f t="shared" si="21"/>
        <v/>
      </c>
      <c r="Q655" s="130"/>
      <c r="R655" s="128">
        <v>7.75</v>
      </c>
      <c r="S655" s="130"/>
      <c r="T655" s="130"/>
      <c r="U655" s="152"/>
    </row>
    <row r="656" spans="1:21" ht="15.75" thickBot="1">
      <c r="A656" s="45">
        <v>1280</v>
      </c>
      <c r="B656" s="45">
        <v>1281</v>
      </c>
      <c r="C656" s="45">
        <v>1282</v>
      </c>
      <c r="D656" s="45">
        <v>1283</v>
      </c>
      <c r="E656" s="45">
        <v>1284</v>
      </c>
      <c r="F656" s="45">
        <v>1285</v>
      </c>
      <c r="G656" s="127" t="s">
        <v>210</v>
      </c>
      <c r="H656" s="128">
        <v>1996</v>
      </c>
      <c r="I656" s="128" t="s">
        <v>1662</v>
      </c>
      <c r="J656" s="128">
        <f t="shared" si="20"/>
        <v>28</v>
      </c>
      <c r="K656" s="128" t="s">
        <v>274</v>
      </c>
      <c r="L656" s="128" t="s">
        <v>30</v>
      </c>
      <c r="M656" s="129" t="s">
        <v>34</v>
      </c>
      <c r="N656" s="129" t="s">
        <v>32</v>
      </c>
      <c r="O656" s="129"/>
      <c r="P656" s="129" t="str">
        <f t="shared" si="21"/>
        <v/>
      </c>
      <c r="Q656" s="130"/>
      <c r="R656" s="128">
        <v>8.6199999999999992</v>
      </c>
      <c r="S656" s="130"/>
      <c r="T656" s="130"/>
      <c r="U656" s="152"/>
    </row>
    <row r="657" spans="1:21" ht="15.75" thickBot="1">
      <c r="A657" s="45">
        <v>1280</v>
      </c>
      <c r="B657" s="45">
        <v>1281</v>
      </c>
      <c r="C657" s="45">
        <v>1282</v>
      </c>
      <c r="D657" s="45">
        <v>1283</v>
      </c>
      <c r="E657" s="45">
        <v>1284</v>
      </c>
      <c r="F657" s="45">
        <v>1285</v>
      </c>
      <c r="G657" s="127" t="s">
        <v>210</v>
      </c>
      <c r="H657" s="128">
        <v>1996</v>
      </c>
      <c r="I657" s="128" t="s">
        <v>1662</v>
      </c>
      <c r="J657" s="128">
        <f t="shared" si="20"/>
        <v>28</v>
      </c>
      <c r="K657" s="128" t="s">
        <v>1768</v>
      </c>
      <c r="L657" s="128" t="s">
        <v>30</v>
      </c>
      <c r="M657" s="129" t="s">
        <v>201</v>
      </c>
      <c r="N657" s="129" t="s">
        <v>28</v>
      </c>
      <c r="O657" s="129"/>
      <c r="P657" s="129" t="str">
        <f t="shared" si="21"/>
        <v/>
      </c>
      <c r="Q657" s="130"/>
      <c r="R657" s="128">
        <v>0.86</v>
      </c>
      <c r="S657" s="130"/>
      <c r="T657" s="130"/>
      <c r="U657" s="152"/>
    </row>
    <row r="658" spans="1:21" ht="15.75" thickBot="1">
      <c r="A658" s="45">
        <v>1280</v>
      </c>
      <c r="B658" s="45">
        <v>1281</v>
      </c>
      <c r="C658" s="45">
        <v>1282</v>
      </c>
      <c r="D658" s="45">
        <v>1283</v>
      </c>
      <c r="E658" s="45">
        <v>1284</v>
      </c>
      <c r="F658" s="45">
        <v>1285</v>
      </c>
      <c r="G658" s="127" t="s">
        <v>210</v>
      </c>
      <c r="H658" s="128">
        <v>1996</v>
      </c>
      <c r="I658" s="128" t="s">
        <v>1662</v>
      </c>
      <c r="J658" s="128">
        <f t="shared" si="20"/>
        <v>28</v>
      </c>
      <c r="K658" s="128" t="s">
        <v>288</v>
      </c>
      <c r="L658" s="128" t="s">
        <v>40</v>
      </c>
      <c r="M658" s="129" t="s">
        <v>31</v>
      </c>
      <c r="N658" s="129" t="s">
        <v>32</v>
      </c>
      <c r="O658" s="129"/>
      <c r="P658" s="129" t="str">
        <f t="shared" si="21"/>
        <v/>
      </c>
      <c r="Q658" s="128" t="s">
        <v>1769</v>
      </c>
      <c r="R658" s="128">
        <v>8.41</v>
      </c>
      <c r="S658" s="130"/>
      <c r="T658" s="130" t="s">
        <v>31</v>
      </c>
      <c r="U658" s="152"/>
    </row>
    <row r="659" spans="1:21" ht="26.25" thickBot="1">
      <c r="A659" s="45">
        <v>1280</v>
      </c>
      <c r="B659" s="45">
        <v>1281</v>
      </c>
      <c r="C659" s="45">
        <v>1282</v>
      </c>
      <c r="D659" s="45">
        <v>1283</v>
      </c>
      <c r="E659" s="45">
        <v>1284</v>
      </c>
      <c r="F659" s="45">
        <v>1285</v>
      </c>
      <c r="G659" s="127" t="s">
        <v>210</v>
      </c>
      <c r="H659" s="128">
        <v>1996</v>
      </c>
      <c r="I659" s="128" t="s">
        <v>1662</v>
      </c>
      <c r="J659" s="128">
        <f t="shared" si="20"/>
        <v>28</v>
      </c>
      <c r="K659" s="128" t="s">
        <v>1770</v>
      </c>
      <c r="L659" s="128" t="s">
        <v>30</v>
      </c>
      <c r="M659" s="129" t="s">
        <v>201</v>
      </c>
      <c r="N659" s="129" t="s">
        <v>28</v>
      </c>
      <c r="O659" s="129"/>
      <c r="P659" s="129" t="str">
        <f t="shared" si="21"/>
        <v/>
      </c>
      <c r="Q659" s="128" t="s">
        <v>1771</v>
      </c>
      <c r="R659" s="128">
        <v>0.96</v>
      </c>
      <c r="S659" s="130"/>
      <c r="T659" s="130" t="s">
        <v>1617</v>
      </c>
      <c r="U659" s="152"/>
    </row>
    <row r="660" spans="1:21" ht="15.75" thickBot="1">
      <c r="A660" s="45">
        <v>1280</v>
      </c>
      <c r="B660" s="45">
        <v>1281</v>
      </c>
      <c r="C660" s="45">
        <v>1282</v>
      </c>
      <c r="D660" s="45">
        <v>1283</v>
      </c>
      <c r="E660" s="45">
        <v>1284</v>
      </c>
      <c r="F660" s="45">
        <v>1285</v>
      </c>
      <c r="G660" s="127" t="s">
        <v>210</v>
      </c>
      <c r="H660" s="128">
        <v>1996</v>
      </c>
      <c r="I660" s="128" t="s">
        <v>1662</v>
      </c>
      <c r="J660" s="128">
        <f t="shared" si="20"/>
        <v>28</v>
      </c>
      <c r="K660" s="128" t="s">
        <v>1772</v>
      </c>
      <c r="L660" s="128" t="s">
        <v>40</v>
      </c>
      <c r="M660" s="129" t="s">
        <v>1065</v>
      </c>
      <c r="N660" s="129" t="s">
        <v>28</v>
      </c>
      <c r="O660" s="129"/>
      <c r="P660" s="129" t="str">
        <f t="shared" si="21"/>
        <v/>
      </c>
      <c r="Q660" s="130"/>
      <c r="R660" s="128">
        <v>1.01</v>
      </c>
      <c r="S660" s="130"/>
      <c r="T660" s="130"/>
      <c r="U660" s="152"/>
    </row>
    <row r="661" spans="1:21" ht="15.75" thickBot="1">
      <c r="A661" s="45">
        <v>1280</v>
      </c>
      <c r="B661" s="45">
        <v>1281</v>
      </c>
      <c r="C661" s="45">
        <v>1282</v>
      </c>
      <c r="D661" s="45">
        <v>1283</v>
      </c>
      <c r="E661" s="45">
        <v>1284</v>
      </c>
      <c r="F661" s="45">
        <v>1285</v>
      </c>
      <c r="G661" s="127" t="s">
        <v>210</v>
      </c>
      <c r="H661" s="128">
        <v>1996</v>
      </c>
      <c r="I661" s="128" t="s">
        <v>1662</v>
      </c>
      <c r="J661" s="128">
        <f t="shared" si="20"/>
        <v>28</v>
      </c>
      <c r="K661" s="128" t="s">
        <v>1773</v>
      </c>
      <c r="L661" s="128" t="s">
        <v>30</v>
      </c>
      <c r="M661" s="129" t="s">
        <v>1065</v>
      </c>
      <c r="N661" s="129" t="s">
        <v>28</v>
      </c>
      <c r="O661" s="129"/>
      <c r="P661" s="129" t="str">
        <f t="shared" si="21"/>
        <v/>
      </c>
      <c r="Q661" s="128" t="s">
        <v>1774</v>
      </c>
      <c r="R661" s="128">
        <v>3.2</v>
      </c>
      <c r="S661" s="130"/>
      <c r="T661" s="130" t="s">
        <v>1015</v>
      </c>
      <c r="U661" s="152"/>
    </row>
    <row r="662" spans="1:21" ht="15.75" thickBot="1">
      <c r="A662" s="45">
        <v>1280</v>
      </c>
      <c r="B662" s="45">
        <v>1281</v>
      </c>
      <c r="C662" s="45">
        <v>1282</v>
      </c>
      <c r="D662" s="45">
        <v>1283</v>
      </c>
      <c r="E662" s="45">
        <v>1284</v>
      </c>
      <c r="F662" s="45">
        <v>1285</v>
      </c>
      <c r="G662" s="127" t="s">
        <v>210</v>
      </c>
      <c r="H662" s="128">
        <v>1996</v>
      </c>
      <c r="I662" s="128" t="s">
        <v>1662</v>
      </c>
      <c r="J662" s="128">
        <f t="shared" si="20"/>
        <v>28</v>
      </c>
      <c r="K662" s="128" t="s">
        <v>1775</v>
      </c>
      <c r="L662" s="128" t="s">
        <v>40</v>
      </c>
      <c r="M662" s="129" t="s">
        <v>31</v>
      </c>
      <c r="N662" s="129" t="s">
        <v>28</v>
      </c>
      <c r="O662" s="129"/>
      <c r="P662" s="129" t="str">
        <f t="shared" si="21"/>
        <v/>
      </c>
      <c r="Q662" s="128" t="s">
        <v>1776</v>
      </c>
      <c r="R662" s="128">
        <v>6.56</v>
      </c>
      <c r="S662" s="130"/>
      <c r="T662" s="130" t="s">
        <v>31</v>
      </c>
      <c r="U662" s="152"/>
    </row>
    <row r="663" spans="1:21" ht="15.75" thickBot="1">
      <c r="A663" s="45">
        <v>1280</v>
      </c>
      <c r="B663" s="45">
        <v>1281</v>
      </c>
      <c r="C663" s="45">
        <v>1282</v>
      </c>
      <c r="D663" s="45">
        <v>1283</v>
      </c>
      <c r="E663" s="45">
        <v>1284</v>
      </c>
      <c r="F663" s="45">
        <v>1285</v>
      </c>
      <c r="G663" s="127" t="s">
        <v>210</v>
      </c>
      <c r="H663" s="128">
        <v>1996</v>
      </c>
      <c r="I663" s="128" t="s">
        <v>1662</v>
      </c>
      <c r="J663" s="128">
        <f t="shared" si="20"/>
        <v>28</v>
      </c>
      <c r="K663" s="128" t="s">
        <v>1687</v>
      </c>
      <c r="L663" s="128" t="s">
        <v>40</v>
      </c>
      <c r="M663" s="129" t="s">
        <v>1065</v>
      </c>
      <c r="N663" s="129" t="s">
        <v>28</v>
      </c>
      <c r="O663" s="129"/>
      <c r="P663" s="129" t="str">
        <f t="shared" si="21"/>
        <v/>
      </c>
      <c r="Q663" s="130"/>
      <c r="R663" s="128">
        <v>2.0299999999999998</v>
      </c>
      <c r="S663" s="130"/>
      <c r="T663" s="130"/>
      <c r="U663" s="152"/>
    </row>
    <row r="664" spans="1:21" ht="15.75" thickBot="1">
      <c r="A664" s="45">
        <v>1280</v>
      </c>
      <c r="B664" s="45">
        <v>1281</v>
      </c>
      <c r="C664" s="45">
        <v>1282</v>
      </c>
      <c r="D664" s="45">
        <v>1283</v>
      </c>
      <c r="E664" s="45">
        <v>1284</v>
      </c>
      <c r="F664" s="45">
        <v>1285</v>
      </c>
      <c r="G664" s="127" t="s">
        <v>210</v>
      </c>
      <c r="H664" s="128">
        <v>1996</v>
      </c>
      <c r="I664" s="128" t="s">
        <v>1662</v>
      </c>
      <c r="J664" s="128">
        <f t="shared" si="20"/>
        <v>28</v>
      </c>
      <c r="K664" s="128" t="s">
        <v>289</v>
      </c>
      <c r="L664" s="128" t="s">
        <v>30</v>
      </c>
      <c r="M664" s="129" t="s">
        <v>34</v>
      </c>
      <c r="N664" s="129" t="s">
        <v>32</v>
      </c>
      <c r="O664" s="129"/>
      <c r="P664" s="129" t="str">
        <f t="shared" si="21"/>
        <v/>
      </c>
      <c r="Q664" s="130"/>
      <c r="R664" s="128">
        <v>7.86</v>
      </c>
      <c r="S664" s="130"/>
      <c r="T664" s="130"/>
      <c r="U664" s="152"/>
    </row>
    <row r="665" spans="1:21" ht="15.75" thickBot="1">
      <c r="A665" s="45">
        <v>1280</v>
      </c>
      <c r="B665" s="45">
        <v>1281</v>
      </c>
      <c r="C665" s="45">
        <v>1282</v>
      </c>
      <c r="D665" s="45">
        <v>1283</v>
      </c>
      <c r="E665" s="45">
        <v>1284</v>
      </c>
      <c r="F665" s="45">
        <v>1285</v>
      </c>
      <c r="G665" s="127" t="s">
        <v>210</v>
      </c>
      <c r="H665" s="128">
        <v>1996</v>
      </c>
      <c r="I665" s="128" t="s">
        <v>1662</v>
      </c>
      <c r="J665" s="128">
        <f t="shared" si="20"/>
        <v>28</v>
      </c>
      <c r="K665" s="128" t="s">
        <v>1777</v>
      </c>
      <c r="L665" s="128" t="s">
        <v>30</v>
      </c>
      <c r="M665" s="129" t="s">
        <v>1003</v>
      </c>
      <c r="N665" s="129" t="s">
        <v>28</v>
      </c>
      <c r="O665" s="129"/>
      <c r="P665" s="129" t="str">
        <f t="shared" si="21"/>
        <v/>
      </c>
      <c r="Q665" s="128" t="s">
        <v>1004</v>
      </c>
      <c r="R665" s="128">
        <v>0.92</v>
      </c>
      <c r="S665" s="130"/>
      <c r="T665" s="130"/>
      <c r="U665" s="152"/>
    </row>
    <row r="666" spans="1:21" ht="15.75" thickBot="1">
      <c r="A666" s="45">
        <v>1280</v>
      </c>
      <c r="B666" s="45">
        <v>1281</v>
      </c>
      <c r="C666" s="45">
        <v>1282</v>
      </c>
      <c r="D666" s="45">
        <v>1283</v>
      </c>
      <c r="E666" s="45">
        <v>1284</v>
      </c>
      <c r="F666" s="45">
        <v>1285</v>
      </c>
      <c r="G666" s="127" t="s">
        <v>210</v>
      </c>
      <c r="H666" s="128">
        <v>1996</v>
      </c>
      <c r="I666" s="128" t="s">
        <v>1662</v>
      </c>
      <c r="J666" s="128">
        <f t="shared" si="20"/>
        <v>28</v>
      </c>
      <c r="K666" s="128" t="s">
        <v>1778</v>
      </c>
      <c r="L666" s="128" t="s">
        <v>30</v>
      </c>
      <c r="M666" s="129" t="s">
        <v>1003</v>
      </c>
      <c r="N666" s="129" t="s">
        <v>28</v>
      </c>
      <c r="O666" s="129"/>
      <c r="P666" s="129" t="str">
        <f t="shared" si="21"/>
        <v/>
      </c>
      <c r="Q666" s="132" t="s">
        <v>1779</v>
      </c>
      <c r="R666" s="128">
        <v>1.47</v>
      </c>
      <c r="S666" s="130"/>
      <c r="T666" s="130"/>
      <c r="U666" s="152"/>
    </row>
    <row r="667" spans="1:21" ht="15.75" thickBot="1">
      <c r="A667" s="45">
        <v>1280</v>
      </c>
      <c r="B667" s="45">
        <v>1281</v>
      </c>
      <c r="C667" s="45">
        <v>1282</v>
      </c>
      <c r="D667" s="45">
        <v>1283</v>
      </c>
      <c r="E667" s="45">
        <v>1284</v>
      </c>
      <c r="F667" s="45">
        <v>1285</v>
      </c>
      <c r="G667" s="127" t="s">
        <v>210</v>
      </c>
      <c r="H667" s="128">
        <v>1996</v>
      </c>
      <c r="I667" s="128" t="s">
        <v>1662</v>
      </c>
      <c r="J667" s="128">
        <f t="shared" si="20"/>
        <v>28</v>
      </c>
      <c r="K667" s="128" t="s">
        <v>1780</v>
      </c>
      <c r="L667" s="128" t="s">
        <v>30</v>
      </c>
      <c r="M667" s="129" t="s">
        <v>31</v>
      </c>
      <c r="N667" s="129" t="s">
        <v>28</v>
      </c>
      <c r="O667" s="129"/>
      <c r="P667" s="129" t="str">
        <f t="shared" si="21"/>
        <v/>
      </c>
      <c r="Q667" s="128" t="s">
        <v>1781</v>
      </c>
      <c r="R667" s="128">
        <v>1.34</v>
      </c>
      <c r="S667" s="130"/>
      <c r="T667" s="130" t="s">
        <v>31</v>
      </c>
      <c r="U667" s="152"/>
    </row>
    <row r="668" spans="1:21" ht="15.75" thickBot="1">
      <c r="A668" s="45">
        <v>1280</v>
      </c>
      <c r="B668" s="45">
        <v>1281</v>
      </c>
      <c r="C668" s="45">
        <v>1282</v>
      </c>
      <c r="D668" s="45">
        <v>1283</v>
      </c>
      <c r="E668" s="45">
        <v>1284</v>
      </c>
      <c r="F668" s="45">
        <v>1285</v>
      </c>
      <c r="G668" s="127" t="s">
        <v>210</v>
      </c>
      <c r="H668" s="128">
        <v>1996</v>
      </c>
      <c r="I668" s="128" t="s">
        <v>1662</v>
      </c>
      <c r="J668" s="128">
        <f t="shared" si="20"/>
        <v>28</v>
      </c>
      <c r="K668" s="128" t="s">
        <v>1782</v>
      </c>
      <c r="L668" s="128" t="s">
        <v>30</v>
      </c>
      <c r="M668" s="129" t="s">
        <v>31</v>
      </c>
      <c r="N668" s="129" t="s">
        <v>28</v>
      </c>
      <c r="O668" s="129"/>
      <c r="P668" s="129" t="str">
        <f t="shared" si="21"/>
        <v/>
      </c>
      <c r="Q668" s="130"/>
      <c r="R668" s="128">
        <v>0.71</v>
      </c>
      <c r="S668" s="130"/>
      <c r="T668" s="130"/>
      <c r="U668" s="152"/>
    </row>
    <row r="669" spans="1:21" ht="15.75" thickBot="1">
      <c r="A669" s="45">
        <v>1280</v>
      </c>
      <c r="B669" s="45">
        <v>1281</v>
      </c>
      <c r="C669" s="45">
        <v>1282</v>
      </c>
      <c r="D669" s="45">
        <v>1283</v>
      </c>
      <c r="E669" s="45">
        <v>1284</v>
      </c>
      <c r="F669" s="45">
        <v>1285</v>
      </c>
      <c r="G669" s="127" t="s">
        <v>210</v>
      </c>
      <c r="H669" s="128">
        <v>1996</v>
      </c>
      <c r="I669" s="128" t="s">
        <v>1662</v>
      </c>
      <c r="J669" s="128">
        <f t="shared" si="20"/>
        <v>28</v>
      </c>
      <c r="K669" s="128" t="s">
        <v>290</v>
      </c>
      <c r="L669" s="128" t="s">
        <v>40</v>
      </c>
      <c r="M669" s="129" t="s">
        <v>31</v>
      </c>
      <c r="N669" s="129" t="s">
        <v>32</v>
      </c>
      <c r="O669" s="129"/>
      <c r="P669" s="129" t="str">
        <f t="shared" si="21"/>
        <v/>
      </c>
      <c r="Q669" s="128" t="s">
        <v>1692</v>
      </c>
      <c r="R669" s="128">
        <v>9.8000000000000007</v>
      </c>
      <c r="S669" s="130"/>
      <c r="T669" s="130" t="s">
        <v>31</v>
      </c>
      <c r="U669" s="152"/>
    </row>
    <row r="670" spans="1:21" ht="15.75" thickBot="1">
      <c r="A670" s="45">
        <v>1280</v>
      </c>
      <c r="B670" s="45">
        <v>1281</v>
      </c>
      <c r="C670" s="45">
        <v>1282</v>
      </c>
      <c r="D670" s="45">
        <v>1283</v>
      </c>
      <c r="E670" s="45">
        <v>1284</v>
      </c>
      <c r="F670" s="45">
        <v>1285</v>
      </c>
      <c r="G670" s="127" t="s">
        <v>210</v>
      </c>
      <c r="H670" s="128">
        <v>1996</v>
      </c>
      <c r="I670" s="128" t="s">
        <v>1662</v>
      </c>
      <c r="J670" s="128">
        <f t="shared" si="20"/>
        <v>28</v>
      </c>
      <c r="K670" s="128" t="s">
        <v>1783</v>
      </c>
      <c r="L670" s="128" t="s">
        <v>40</v>
      </c>
      <c r="M670" s="129" t="s">
        <v>1003</v>
      </c>
      <c r="N670" s="129" t="s">
        <v>28</v>
      </c>
      <c r="O670" s="129"/>
      <c r="P670" s="129" t="str">
        <f t="shared" si="21"/>
        <v/>
      </c>
      <c r="Q670" s="128" t="s">
        <v>1004</v>
      </c>
      <c r="R670" s="128">
        <v>0.65</v>
      </c>
      <c r="S670" s="130"/>
      <c r="T670" s="130"/>
      <c r="U670" s="152"/>
    </row>
    <row r="671" spans="1:21" ht="15.75" thickBot="1">
      <c r="A671" s="45">
        <v>1280</v>
      </c>
      <c r="B671" s="45">
        <v>1281</v>
      </c>
      <c r="C671" s="45">
        <v>1282</v>
      </c>
      <c r="D671" s="45">
        <v>1283</v>
      </c>
      <c r="E671" s="45">
        <v>1284</v>
      </c>
      <c r="F671" s="45">
        <v>1285</v>
      </c>
      <c r="G671" s="127" t="s">
        <v>210</v>
      </c>
      <c r="H671" s="128">
        <v>1996</v>
      </c>
      <c r="I671" s="128" t="s">
        <v>1662</v>
      </c>
      <c r="J671" s="128">
        <f t="shared" si="20"/>
        <v>28</v>
      </c>
      <c r="K671" s="128" t="s">
        <v>1784</v>
      </c>
      <c r="L671" s="128" t="s">
        <v>40</v>
      </c>
      <c r="M671" s="129" t="s">
        <v>1003</v>
      </c>
      <c r="N671" s="129" t="s">
        <v>28</v>
      </c>
      <c r="O671" s="129"/>
      <c r="P671" s="129" t="str">
        <f t="shared" si="21"/>
        <v/>
      </c>
      <c r="Q671" s="128" t="s">
        <v>1004</v>
      </c>
      <c r="R671" s="128">
        <v>0.84</v>
      </c>
      <c r="S671" s="130"/>
      <c r="T671" s="130"/>
      <c r="U671" s="152"/>
    </row>
    <row r="672" spans="1:21" ht="15.75" thickBot="1">
      <c r="A672" s="45">
        <v>1280</v>
      </c>
      <c r="B672" s="45">
        <v>1281</v>
      </c>
      <c r="C672" s="45">
        <v>1282</v>
      </c>
      <c r="D672" s="45">
        <v>1283</v>
      </c>
      <c r="E672" s="45">
        <v>1284</v>
      </c>
      <c r="F672" s="45">
        <v>1285</v>
      </c>
      <c r="G672" s="127" t="s">
        <v>210</v>
      </c>
      <c r="H672" s="128">
        <v>1996</v>
      </c>
      <c r="I672" s="128" t="s">
        <v>1662</v>
      </c>
      <c r="J672" s="128">
        <f t="shared" si="20"/>
        <v>28</v>
      </c>
      <c r="K672" s="128" t="s">
        <v>1785</v>
      </c>
      <c r="L672" s="128" t="s">
        <v>30</v>
      </c>
      <c r="M672" s="129" t="s">
        <v>1003</v>
      </c>
      <c r="N672" s="129" t="s">
        <v>28</v>
      </c>
      <c r="O672" s="129"/>
      <c r="P672" s="129" t="str">
        <f t="shared" si="21"/>
        <v/>
      </c>
      <c r="Q672" s="128" t="s">
        <v>1004</v>
      </c>
      <c r="R672" s="128">
        <v>5.22</v>
      </c>
      <c r="S672" s="130"/>
      <c r="T672" s="130"/>
      <c r="U672" s="152"/>
    </row>
    <row r="673" spans="1:21" ht="15.75" thickBot="1">
      <c r="A673" s="45">
        <v>1278</v>
      </c>
      <c r="B673" s="123"/>
      <c r="C673" s="123"/>
      <c r="D673" s="123"/>
      <c r="E673" s="123"/>
      <c r="F673" s="123"/>
      <c r="G673" s="127" t="s">
        <v>210</v>
      </c>
      <c r="H673" s="128">
        <v>1997</v>
      </c>
      <c r="I673" s="128" t="s">
        <v>230</v>
      </c>
      <c r="J673" s="128">
        <f t="shared" si="20"/>
        <v>3</v>
      </c>
      <c r="K673" s="128" t="s">
        <v>1743</v>
      </c>
      <c r="L673" s="128" t="s">
        <v>30</v>
      </c>
      <c r="M673" s="129" t="s">
        <v>31</v>
      </c>
      <c r="N673" s="129" t="s">
        <v>28</v>
      </c>
      <c r="O673" s="129"/>
      <c r="P673" s="129" t="str">
        <f t="shared" si="21"/>
        <v/>
      </c>
      <c r="Q673" s="130"/>
      <c r="R673" s="128">
        <v>34</v>
      </c>
      <c r="S673" s="130"/>
      <c r="T673" s="130"/>
      <c r="U673" s="152"/>
    </row>
    <row r="674" spans="1:21" ht="15.75" thickBot="1">
      <c r="A674" s="45">
        <v>1278</v>
      </c>
      <c r="B674" s="123"/>
      <c r="C674" s="123"/>
      <c r="D674" s="123"/>
      <c r="E674" s="123"/>
      <c r="F674" s="123"/>
      <c r="G674" s="127" t="s">
        <v>210</v>
      </c>
      <c r="H674" s="128">
        <v>1997</v>
      </c>
      <c r="I674" s="128" t="s">
        <v>230</v>
      </c>
      <c r="J674" s="128">
        <f t="shared" si="20"/>
        <v>3</v>
      </c>
      <c r="K674" s="128" t="s">
        <v>1772</v>
      </c>
      <c r="L674" s="128" t="s">
        <v>40</v>
      </c>
      <c r="M674" s="129" t="s">
        <v>1065</v>
      </c>
      <c r="N674" s="129" t="s">
        <v>28</v>
      </c>
      <c r="O674" s="129"/>
      <c r="P674" s="129" t="str">
        <f t="shared" si="21"/>
        <v/>
      </c>
      <c r="Q674" s="130"/>
      <c r="R674" s="128">
        <v>8.1199999999999992</v>
      </c>
      <c r="S674" s="130"/>
      <c r="T674" s="130"/>
      <c r="U674" s="152"/>
    </row>
    <row r="675" spans="1:21" ht="15.75" thickBot="1">
      <c r="A675" s="45">
        <v>1278</v>
      </c>
      <c r="B675" s="123"/>
      <c r="C675" s="123"/>
      <c r="D675" s="123"/>
      <c r="E675" s="123"/>
      <c r="F675" s="123"/>
      <c r="G675" s="127" t="s">
        <v>210</v>
      </c>
      <c r="H675" s="128">
        <v>1997</v>
      </c>
      <c r="I675" s="128" t="s">
        <v>230</v>
      </c>
      <c r="J675" s="128">
        <f t="shared" si="20"/>
        <v>3</v>
      </c>
      <c r="K675" s="128" t="s">
        <v>272</v>
      </c>
      <c r="L675" s="128" t="s">
        <v>40</v>
      </c>
      <c r="M675" s="129" t="s">
        <v>31</v>
      </c>
      <c r="N675" s="129" t="s">
        <v>32</v>
      </c>
      <c r="O675" s="129"/>
      <c r="P675" s="129" t="str">
        <f t="shared" si="21"/>
        <v/>
      </c>
      <c r="Q675" s="130"/>
      <c r="R675" s="128">
        <v>57.88</v>
      </c>
      <c r="S675" s="130"/>
      <c r="T675" s="130"/>
      <c r="U675" s="152"/>
    </row>
    <row r="676" spans="1:21" ht="15.75" thickBot="1">
      <c r="A676" s="45">
        <v>1279</v>
      </c>
      <c r="B676" s="123"/>
      <c r="C676" s="123"/>
      <c r="D676" s="123"/>
      <c r="E676" s="123"/>
      <c r="F676" s="123"/>
      <c r="G676" s="127" t="s">
        <v>210</v>
      </c>
      <c r="H676" s="128">
        <v>1997</v>
      </c>
      <c r="I676" s="128" t="s">
        <v>124</v>
      </c>
      <c r="J676" s="128">
        <f t="shared" si="20"/>
        <v>1</v>
      </c>
      <c r="K676" s="128" t="s">
        <v>285</v>
      </c>
      <c r="L676" s="128" t="s">
        <v>40</v>
      </c>
      <c r="M676" s="129" t="s">
        <v>31</v>
      </c>
      <c r="N676" s="129" t="s">
        <v>32</v>
      </c>
      <c r="O676" s="129"/>
      <c r="P676" s="129" t="str">
        <f t="shared" si="21"/>
        <v/>
      </c>
      <c r="Q676" s="128" t="s">
        <v>1786</v>
      </c>
      <c r="R676" s="128">
        <v>100</v>
      </c>
      <c r="S676" s="130"/>
      <c r="T676" s="130" t="s">
        <v>31</v>
      </c>
      <c r="U676" s="152"/>
    </row>
    <row r="677" spans="1:21" ht="15.75" hidden="1" thickBot="1">
      <c r="A677" s="45">
        <v>1271</v>
      </c>
      <c r="B677" s="45">
        <v>1272</v>
      </c>
      <c r="C677" s="45">
        <v>1273</v>
      </c>
      <c r="D677" s="45">
        <v>1274</v>
      </c>
      <c r="E677" s="45">
        <v>1275</v>
      </c>
      <c r="F677" s="123"/>
      <c r="G677" s="127" t="s">
        <v>210</v>
      </c>
      <c r="H677" s="128">
        <v>1998</v>
      </c>
      <c r="I677" s="128" t="s">
        <v>1662</v>
      </c>
      <c r="J677" s="128">
        <f t="shared" si="20"/>
        <v>17</v>
      </c>
      <c r="K677" s="128" t="s">
        <v>269</v>
      </c>
      <c r="L677" s="128" t="s">
        <v>40</v>
      </c>
      <c r="M677" s="129" t="s">
        <v>34</v>
      </c>
      <c r="N677" s="129" t="s">
        <v>32</v>
      </c>
      <c r="O677" s="129" t="s">
        <v>32</v>
      </c>
      <c r="P677" s="129" t="str">
        <f t="shared" si="21"/>
        <v>Y</v>
      </c>
      <c r="Q677" s="128" t="s">
        <v>1787</v>
      </c>
      <c r="R677" s="128">
        <v>11.86</v>
      </c>
      <c r="S677" s="130"/>
      <c r="T677" s="130"/>
      <c r="U677" s="152"/>
    </row>
    <row r="678" spans="1:21" ht="15.75" hidden="1" thickBot="1">
      <c r="A678" s="45">
        <v>1271</v>
      </c>
      <c r="B678" s="45">
        <v>1272</v>
      </c>
      <c r="C678" s="45">
        <v>1273</v>
      </c>
      <c r="D678" s="45">
        <v>1274</v>
      </c>
      <c r="E678" s="45">
        <v>1275</v>
      </c>
      <c r="F678" s="123"/>
      <c r="G678" s="127" t="s">
        <v>210</v>
      </c>
      <c r="H678" s="128">
        <v>1998</v>
      </c>
      <c r="I678" s="128" t="s">
        <v>1662</v>
      </c>
      <c r="J678" s="128">
        <f t="shared" si="20"/>
        <v>17</v>
      </c>
      <c r="K678" s="128" t="s">
        <v>264</v>
      </c>
      <c r="L678" s="128" t="s">
        <v>30</v>
      </c>
      <c r="M678" s="129" t="s">
        <v>31</v>
      </c>
      <c r="N678" s="129" t="s">
        <v>32</v>
      </c>
      <c r="O678" s="129" t="s">
        <v>32</v>
      </c>
      <c r="P678" s="129" t="str">
        <f t="shared" si="21"/>
        <v>Y</v>
      </c>
      <c r="Q678" s="130"/>
      <c r="R678" s="128">
        <v>15.01</v>
      </c>
      <c r="S678" s="130"/>
      <c r="T678" s="130"/>
      <c r="U678" s="152"/>
    </row>
    <row r="679" spans="1:21" ht="15.75" thickBot="1">
      <c r="A679" s="45">
        <v>1271</v>
      </c>
      <c r="B679" s="45">
        <v>1272</v>
      </c>
      <c r="C679" s="45">
        <v>1273</v>
      </c>
      <c r="D679" s="45">
        <v>1274</v>
      </c>
      <c r="E679" s="45">
        <v>1275</v>
      </c>
      <c r="F679" s="123"/>
      <c r="G679" s="127" t="s">
        <v>210</v>
      </c>
      <c r="H679" s="128">
        <v>1998</v>
      </c>
      <c r="I679" s="128" t="s">
        <v>1662</v>
      </c>
      <c r="J679" s="128">
        <f t="shared" si="20"/>
        <v>17</v>
      </c>
      <c r="K679" s="128" t="s">
        <v>280</v>
      </c>
      <c r="L679" s="128" t="s">
        <v>30</v>
      </c>
      <c r="M679" s="129" t="s">
        <v>201</v>
      </c>
      <c r="N679" s="129" t="s">
        <v>32</v>
      </c>
      <c r="O679" s="129"/>
      <c r="P679" s="129" t="str">
        <f t="shared" si="21"/>
        <v/>
      </c>
      <c r="Q679" s="130"/>
      <c r="R679" s="128">
        <v>8.43</v>
      </c>
      <c r="S679" s="130"/>
      <c r="T679" s="130"/>
      <c r="U679" s="152"/>
    </row>
    <row r="680" spans="1:21" ht="15.75" thickBot="1">
      <c r="A680" s="45">
        <v>1271</v>
      </c>
      <c r="B680" s="45">
        <v>1272</v>
      </c>
      <c r="C680" s="45">
        <v>1273</v>
      </c>
      <c r="D680" s="45">
        <v>1274</v>
      </c>
      <c r="E680" s="45">
        <v>1275</v>
      </c>
      <c r="F680" s="123"/>
      <c r="G680" s="127" t="s">
        <v>210</v>
      </c>
      <c r="H680" s="128">
        <v>1998</v>
      </c>
      <c r="I680" s="128" t="s">
        <v>1662</v>
      </c>
      <c r="J680" s="128">
        <f t="shared" si="20"/>
        <v>17</v>
      </c>
      <c r="K680" s="128" t="s">
        <v>1761</v>
      </c>
      <c r="L680" s="128" t="s">
        <v>30</v>
      </c>
      <c r="M680" s="129" t="s">
        <v>1065</v>
      </c>
      <c r="N680" s="129" t="s">
        <v>28</v>
      </c>
      <c r="O680" s="129"/>
      <c r="P680" s="129" t="str">
        <f t="shared" si="21"/>
        <v/>
      </c>
      <c r="Q680" s="130"/>
      <c r="R680" s="128">
        <v>2.0299999999999998</v>
      </c>
      <c r="S680" s="130"/>
      <c r="T680" s="130"/>
      <c r="U680" s="152"/>
    </row>
    <row r="681" spans="1:21" ht="15.75" thickBot="1">
      <c r="A681" s="45">
        <v>1271</v>
      </c>
      <c r="B681" s="45">
        <v>1272</v>
      </c>
      <c r="C681" s="45">
        <v>1273</v>
      </c>
      <c r="D681" s="45">
        <v>1274</v>
      </c>
      <c r="E681" s="45">
        <v>1275</v>
      </c>
      <c r="F681" s="123"/>
      <c r="G681" s="127" t="s">
        <v>210</v>
      </c>
      <c r="H681" s="128">
        <v>1998</v>
      </c>
      <c r="I681" s="128" t="s">
        <v>1662</v>
      </c>
      <c r="J681" s="128">
        <f t="shared" si="20"/>
        <v>17</v>
      </c>
      <c r="K681" s="128" t="s">
        <v>1788</v>
      </c>
      <c r="L681" s="128" t="s">
        <v>40</v>
      </c>
      <c r="M681" s="129" t="s">
        <v>31</v>
      </c>
      <c r="N681" s="129" t="s">
        <v>28</v>
      </c>
      <c r="O681" s="129"/>
      <c r="P681" s="129" t="str">
        <f t="shared" si="21"/>
        <v/>
      </c>
      <c r="Q681" s="132" t="s">
        <v>1789</v>
      </c>
      <c r="R681" s="128">
        <v>4.4000000000000004</v>
      </c>
      <c r="S681" s="130"/>
      <c r="T681" s="130" t="s">
        <v>31</v>
      </c>
      <c r="U681" s="152"/>
    </row>
    <row r="682" spans="1:21" ht="15.75" thickBot="1">
      <c r="A682" s="45">
        <v>1271</v>
      </c>
      <c r="B682" s="45">
        <v>1272</v>
      </c>
      <c r="C682" s="45">
        <v>1273</v>
      </c>
      <c r="D682" s="45">
        <v>1274</v>
      </c>
      <c r="E682" s="45">
        <v>1275</v>
      </c>
      <c r="F682" s="123"/>
      <c r="G682" s="127" t="s">
        <v>210</v>
      </c>
      <c r="H682" s="128">
        <v>1998</v>
      </c>
      <c r="I682" s="128" t="s">
        <v>1662</v>
      </c>
      <c r="J682" s="128">
        <f t="shared" si="20"/>
        <v>17</v>
      </c>
      <c r="K682" s="128" t="s">
        <v>1764</v>
      </c>
      <c r="L682" s="128" t="s">
        <v>40</v>
      </c>
      <c r="M682" s="129" t="s">
        <v>31</v>
      </c>
      <c r="N682" s="129" t="s">
        <v>28</v>
      </c>
      <c r="O682" s="129"/>
      <c r="P682" s="129" t="str">
        <f t="shared" si="21"/>
        <v/>
      </c>
      <c r="Q682" s="128" t="s">
        <v>1790</v>
      </c>
      <c r="R682" s="128">
        <v>7.21</v>
      </c>
      <c r="S682" s="130"/>
      <c r="T682" s="130" t="s">
        <v>31</v>
      </c>
      <c r="U682" s="152"/>
    </row>
    <row r="683" spans="1:21" ht="15.75" thickBot="1">
      <c r="A683" s="45">
        <v>1271</v>
      </c>
      <c r="B683" s="45">
        <v>1272</v>
      </c>
      <c r="C683" s="45">
        <v>1273</v>
      </c>
      <c r="D683" s="45">
        <v>1274</v>
      </c>
      <c r="E683" s="45">
        <v>1275</v>
      </c>
      <c r="F683" s="123"/>
      <c r="G683" s="127" t="s">
        <v>210</v>
      </c>
      <c r="H683" s="128">
        <v>1998</v>
      </c>
      <c r="I683" s="128" t="s">
        <v>1662</v>
      </c>
      <c r="J683" s="128">
        <f t="shared" si="20"/>
        <v>17</v>
      </c>
      <c r="K683" s="128" t="s">
        <v>1791</v>
      </c>
      <c r="L683" s="128" t="s">
        <v>30</v>
      </c>
      <c r="M683" s="129" t="s">
        <v>31</v>
      </c>
      <c r="N683" s="129" t="s">
        <v>28</v>
      </c>
      <c r="O683" s="129"/>
      <c r="P683" s="129" t="str">
        <f t="shared" si="21"/>
        <v/>
      </c>
      <c r="Q683" s="128" t="s">
        <v>1792</v>
      </c>
      <c r="R683" s="128">
        <v>1</v>
      </c>
      <c r="S683" s="130"/>
      <c r="T683" s="130" t="s">
        <v>31</v>
      </c>
      <c r="U683" s="152"/>
    </row>
    <row r="684" spans="1:21" ht="15.75" thickBot="1">
      <c r="A684" s="45">
        <v>1271</v>
      </c>
      <c r="B684" s="45">
        <v>1272</v>
      </c>
      <c r="C684" s="45">
        <v>1273</v>
      </c>
      <c r="D684" s="45">
        <v>1274</v>
      </c>
      <c r="E684" s="45">
        <v>1275</v>
      </c>
      <c r="F684" s="123"/>
      <c r="G684" s="127" t="s">
        <v>210</v>
      </c>
      <c r="H684" s="128">
        <v>1998</v>
      </c>
      <c r="I684" s="128" t="s">
        <v>1662</v>
      </c>
      <c r="J684" s="128">
        <f t="shared" si="20"/>
        <v>17</v>
      </c>
      <c r="K684" s="128" t="s">
        <v>252</v>
      </c>
      <c r="L684" s="128" t="s">
        <v>30</v>
      </c>
      <c r="M684" s="129" t="s">
        <v>31</v>
      </c>
      <c r="N684" s="129" t="s">
        <v>32</v>
      </c>
      <c r="O684" s="129"/>
      <c r="P684" s="129" t="str">
        <f t="shared" si="21"/>
        <v/>
      </c>
      <c r="Q684" s="130"/>
      <c r="R684" s="128">
        <v>13.6</v>
      </c>
      <c r="S684" s="130"/>
      <c r="T684" s="130"/>
      <c r="U684" s="152"/>
    </row>
    <row r="685" spans="1:21" ht="15.75" thickBot="1">
      <c r="A685" s="45">
        <v>1271</v>
      </c>
      <c r="B685" s="45">
        <v>1272</v>
      </c>
      <c r="C685" s="45">
        <v>1273</v>
      </c>
      <c r="D685" s="45">
        <v>1274</v>
      </c>
      <c r="E685" s="45">
        <v>1275</v>
      </c>
      <c r="F685" s="123"/>
      <c r="G685" s="127" t="s">
        <v>210</v>
      </c>
      <c r="H685" s="128">
        <v>1998</v>
      </c>
      <c r="I685" s="128" t="s">
        <v>1662</v>
      </c>
      <c r="J685" s="128">
        <f t="shared" si="20"/>
        <v>17</v>
      </c>
      <c r="K685" s="128" t="s">
        <v>1793</v>
      </c>
      <c r="L685" s="128" t="s">
        <v>30</v>
      </c>
      <c r="M685" s="129" t="s">
        <v>31</v>
      </c>
      <c r="N685" s="129" t="s">
        <v>28</v>
      </c>
      <c r="O685" s="129"/>
      <c r="P685" s="129" t="str">
        <f t="shared" si="21"/>
        <v/>
      </c>
      <c r="Q685" s="130"/>
      <c r="R685" s="128">
        <v>2.11</v>
      </c>
      <c r="S685" s="130"/>
      <c r="T685" s="130"/>
      <c r="U685" s="152"/>
    </row>
    <row r="686" spans="1:21" ht="15.75" thickBot="1">
      <c r="A686" s="45">
        <v>1271</v>
      </c>
      <c r="B686" s="45">
        <v>1272</v>
      </c>
      <c r="C686" s="45">
        <v>1273</v>
      </c>
      <c r="D686" s="45">
        <v>1274</v>
      </c>
      <c r="E686" s="45">
        <v>1275</v>
      </c>
      <c r="F686" s="123"/>
      <c r="G686" s="127" t="s">
        <v>210</v>
      </c>
      <c r="H686" s="128">
        <v>1998</v>
      </c>
      <c r="I686" s="128" t="s">
        <v>1662</v>
      </c>
      <c r="J686" s="128">
        <f t="shared" si="20"/>
        <v>17</v>
      </c>
      <c r="K686" s="128" t="s">
        <v>1768</v>
      </c>
      <c r="L686" s="128" t="s">
        <v>30</v>
      </c>
      <c r="M686" s="129" t="s">
        <v>201</v>
      </c>
      <c r="N686" s="129" t="s">
        <v>28</v>
      </c>
      <c r="O686" s="129"/>
      <c r="P686" s="129" t="str">
        <f t="shared" si="21"/>
        <v/>
      </c>
      <c r="Q686" s="130"/>
      <c r="R686" s="128">
        <v>1.88</v>
      </c>
      <c r="S686" s="130"/>
      <c r="T686" s="130"/>
      <c r="U686" s="152"/>
    </row>
    <row r="687" spans="1:21" ht="15.75" thickBot="1">
      <c r="A687" s="45">
        <v>1271</v>
      </c>
      <c r="B687" s="45">
        <v>1272</v>
      </c>
      <c r="C687" s="45">
        <v>1273</v>
      </c>
      <c r="D687" s="45">
        <v>1274</v>
      </c>
      <c r="E687" s="45">
        <v>1275</v>
      </c>
      <c r="F687" s="123"/>
      <c r="G687" s="127" t="s">
        <v>210</v>
      </c>
      <c r="H687" s="128">
        <v>1998</v>
      </c>
      <c r="I687" s="128" t="s">
        <v>1662</v>
      </c>
      <c r="J687" s="128">
        <f t="shared" si="20"/>
        <v>17</v>
      </c>
      <c r="K687" s="128" t="s">
        <v>1772</v>
      </c>
      <c r="L687" s="128" t="s">
        <v>40</v>
      </c>
      <c r="M687" s="129" t="s">
        <v>1065</v>
      </c>
      <c r="N687" s="129" t="s">
        <v>28</v>
      </c>
      <c r="O687" s="129"/>
      <c r="P687" s="129" t="str">
        <f t="shared" si="21"/>
        <v/>
      </c>
      <c r="Q687" s="130"/>
      <c r="R687" s="128">
        <v>2.88</v>
      </c>
      <c r="S687" s="130"/>
      <c r="T687" s="130"/>
      <c r="U687" s="152"/>
    </row>
    <row r="688" spans="1:21" ht="15.75" thickBot="1">
      <c r="A688" s="45">
        <v>1271</v>
      </c>
      <c r="B688" s="45">
        <v>1272</v>
      </c>
      <c r="C688" s="45">
        <v>1273</v>
      </c>
      <c r="D688" s="45">
        <v>1274</v>
      </c>
      <c r="E688" s="45">
        <v>1275</v>
      </c>
      <c r="F688" s="123"/>
      <c r="G688" s="127" t="s">
        <v>210</v>
      </c>
      <c r="H688" s="128">
        <v>1998</v>
      </c>
      <c r="I688" s="128" t="s">
        <v>1662</v>
      </c>
      <c r="J688" s="128">
        <f t="shared" si="20"/>
        <v>17</v>
      </c>
      <c r="K688" s="128" t="s">
        <v>277</v>
      </c>
      <c r="L688" s="128" t="s">
        <v>30</v>
      </c>
      <c r="M688" s="129" t="s">
        <v>31</v>
      </c>
      <c r="N688" s="129" t="s">
        <v>32</v>
      </c>
      <c r="O688" s="129"/>
      <c r="P688" s="129" t="str">
        <f t="shared" si="21"/>
        <v/>
      </c>
      <c r="Q688" s="130"/>
      <c r="R688" s="128">
        <v>10.29</v>
      </c>
      <c r="S688" s="130"/>
      <c r="T688" s="130"/>
      <c r="U688" s="152"/>
    </row>
    <row r="689" spans="1:21" ht="15.75" thickBot="1">
      <c r="A689" s="45">
        <v>1271</v>
      </c>
      <c r="B689" s="45">
        <v>1272</v>
      </c>
      <c r="C689" s="45">
        <v>1273</v>
      </c>
      <c r="D689" s="45">
        <v>1274</v>
      </c>
      <c r="E689" s="45">
        <v>1275</v>
      </c>
      <c r="F689" s="123"/>
      <c r="G689" s="127" t="s">
        <v>210</v>
      </c>
      <c r="H689" s="128">
        <v>1998</v>
      </c>
      <c r="I689" s="128" t="s">
        <v>1662</v>
      </c>
      <c r="J689" s="128">
        <f t="shared" si="20"/>
        <v>17</v>
      </c>
      <c r="K689" s="128" t="s">
        <v>1794</v>
      </c>
      <c r="L689" s="128" t="s">
        <v>40</v>
      </c>
      <c r="M689" s="129" t="s">
        <v>34</v>
      </c>
      <c r="N689" s="129" t="s">
        <v>28</v>
      </c>
      <c r="O689" s="129"/>
      <c r="P689" s="129" t="str">
        <f t="shared" si="21"/>
        <v/>
      </c>
      <c r="Q689" s="128" t="s">
        <v>1787</v>
      </c>
      <c r="R689" s="128">
        <v>7.31</v>
      </c>
      <c r="S689" s="130"/>
      <c r="T689" s="130"/>
      <c r="U689" s="152"/>
    </row>
    <row r="690" spans="1:21" ht="15.75" thickBot="1">
      <c r="A690" s="45">
        <v>1271</v>
      </c>
      <c r="B690" s="45">
        <v>1272</v>
      </c>
      <c r="C690" s="45">
        <v>1273</v>
      </c>
      <c r="D690" s="45">
        <v>1274</v>
      </c>
      <c r="E690" s="45">
        <v>1275</v>
      </c>
      <c r="F690" s="123"/>
      <c r="G690" s="127" t="s">
        <v>210</v>
      </c>
      <c r="H690" s="128">
        <v>1998</v>
      </c>
      <c r="I690" s="128" t="s">
        <v>1662</v>
      </c>
      <c r="J690" s="128">
        <f t="shared" si="20"/>
        <v>17</v>
      </c>
      <c r="K690" s="128" t="s">
        <v>1795</v>
      </c>
      <c r="L690" s="128" t="s">
        <v>1672</v>
      </c>
      <c r="M690" s="129" t="s">
        <v>1003</v>
      </c>
      <c r="N690" s="129" t="s">
        <v>28</v>
      </c>
      <c r="O690" s="129"/>
      <c r="P690" s="129" t="str">
        <f t="shared" si="21"/>
        <v/>
      </c>
      <c r="Q690" s="128" t="s">
        <v>1004</v>
      </c>
      <c r="R690" s="128">
        <v>0.98</v>
      </c>
      <c r="S690" s="130"/>
      <c r="T690" s="130"/>
      <c r="U690" s="152"/>
    </row>
    <row r="691" spans="1:21" ht="15.75" thickBot="1">
      <c r="A691" s="45">
        <v>1271</v>
      </c>
      <c r="B691" s="45">
        <v>1272</v>
      </c>
      <c r="C691" s="45">
        <v>1273</v>
      </c>
      <c r="D691" s="45">
        <v>1274</v>
      </c>
      <c r="E691" s="45">
        <v>1275</v>
      </c>
      <c r="F691" s="123"/>
      <c r="G691" s="127" t="s">
        <v>210</v>
      </c>
      <c r="H691" s="128">
        <v>1998</v>
      </c>
      <c r="I691" s="128" t="s">
        <v>1662</v>
      </c>
      <c r="J691" s="128">
        <f t="shared" si="20"/>
        <v>17</v>
      </c>
      <c r="K691" s="128" t="s">
        <v>1782</v>
      </c>
      <c r="L691" s="128" t="s">
        <v>30</v>
      </c>
      <c r="M691" s="129" t="s">
        <v>31</v>
      </c>
      <c r="N691" s="129" t="s">
        <v>28</v>
      </c>
      <c r="O691" s="129"/>
      <c r="P691" s="129" t="str">
        <f t="shared" si="21"/>
        <v/>
      </c>
      <c r="Q691" s="130"/>
      <c r="R691" s="128">
        <v>2.2000000000000002</v>
      </c>
      <c r="S691" s="130"/>
      <c r="T691" s="130"/>
      <c r="U691" s="152"/>
    </row>
    <row r="692" spans="1:21" ht="15.75" thickBot="1">
      <c r="A692" s="45">
        <v>1271</v>
      </c>
      <c r="B692" s="45">
        <v>1272</v>
      </c>
      <c r="C692" s="45">
        <v>1273</v>
      </c>
      <c r="D692" s="45">
        <v>1274</v>
      </c>
      <c r="E692" s="45">
        <v>1275</v>
      </c>
      <c r="F692" s="123"/>
      <c r="G692" s="127" t="s">
        <v>210</v>
      </c>
      <c r="H692" s="128">
        <v>1998</v>
      </c>
      <c r="I692" s="128" t="s">
        <v>1662</v>
      </c>
      <c r="J692" s="128">
        <f t="shared" si="20"/>
        <v>17</v>
      </c>
      <c r="K692" s="128" t="s">
        <v>1796</v>
      </c>
      <c r="L692" s="128" t="s">
        <v>1672</v>
      </c>
      <c r="M692" s="129" t="s">
        <v>1003</v>
      </c>
      <c r="N692" s="129" t="s">
        <v>28</v>
      </c>
      <c r="O692" s="129"/>
      <c r="P692" s="129" t="str">
        <f t="shared" si="21"/>
        <v/>
      </c>
      <c r="Q692" s="128" t="s">
        <v>1004</v>
      </c>
      <c r="R692" s="128">
        <v>1.45</v>
      </c>
      <c r="S692" s="130"/>
      <c r="T692" s="130"/>
      <c r="U692" s="152"/>
    </row>
    <row r="693" spans="1:21" ht="15.75" thickBot="1">
      <c r="A693" s="45">
        <v>1271</v>
      </c>
      <c r="B693" s="45">
        <v>1272</v>
      </c>
      <c r="C693" s="45">
        <v>1273</v>
      </c>
      <c r="D693" s="45">
        <v>1274</v>
      </c>
      <c r="E693" s="45">
        <v>1275</v>
      </c>
      <c r="F693" s="123"/>
      <c r="G693" s="127" t="s">
        <v>210</v>
      </c>
      <c r="H693" s="128">
        <v>1998</v>
      </c>
      <c r="I693" s="128" t="s">
        <v>1662</v>
      </c>
      <c r="J693" s="128">
        <f t="shared" si="20"/>
        <v>17</v>
      </c>
      <c r="K693" s="128" t="s">
        <v>1785</v>
      </c>
      <c r="L693" s="128" t="s">
        <v>30</v>
      </c>
      <c r="M693" s="129" t="s">
        <v>1003</v>
      </c>
      <c r="N693" s="129" t="s">
        <v>28</v>
      </c>
      <c r="O693" s="129"/>
      <c r="P693" s="129" t="str">
        <f t="shared" si="21"/>
        <v/>
      </c>
      <c r="Q693" s="144" t="s">
        <v>1004</v>
      </c>
      <c r="R693" s="128">
        <v>7.35</v>
      </c>
      <c r="S693" s="130"/>
      <c r="T693" s="130"/>
      <c r="U693" s="152"/>
    </row>
    <row r="694" spans="1:21" ht="15.75" thickBot="1">
      <c r="A694" s="45">
        <v>1276</v>
      </c>
      <c r="B694" s="123"/>
      <c r="C694" s="123"/>
      <c r="D694" s="123"/>
      <c r="E694" s="123"/>
      <c r="F694" s="123"/>
      <c r="G694" s="127" t="s">
        <v>210</v>
      </c>
      <c r="H694" s="128">
        <v>1998</v>
      </c>
      <c r="I694" s="128" t="s">
        <v>1735</v>
      </c>
      <c r="J694" s="128">
        <f t="shared" si="20"/>
        <v>1</v>
      </c>
      <c r="K694" s="128" t="s">
        <v>283</v>
      </c>
      <c r="L694" s="128" t="s">
        <v>30</v>
      </c>
      <c r="M694" s="129" t="s">
        <v>31</v>
      </c>
      <c r="N694" s="129" t="s">
        <v>32</v>
      </c>
      <c r="O694" s="129"/>
      <c r="P694" s="129" t="str">
        <f t="shared" si="21"/>
        <v/>
      </c>
      <c r="Q694" s="128" t="s">
        <v>1797</v>
      </c>
      <c r="R694" s="128">
        <v>100</v>
      </c>
      <c r="S694" s="130"/>
      <c r="T694" s="130" t="s">
        <v>31</v>
      </c>
      <c r="U694" s="136"/>
    </row>
    <row r="695" spans="1:21" ht="15.75" thickBot="1">
      <c r="A695" s="45">
        <v>1268</v>
      </c>
      <c r="B695" s="123"/>
      <c r="C695" s="123"/>
      <c r="D695" s="123"/>
      <c r="E695" s="123"/>
      <c r="F695" s="123"/>
      <c r="G695" s="127" t="s">
        <v>210</v>
      </c>
      <c r="H695" s="128">
        <v>1999</v>
      </c>
      <c r="I695" s="128" t="s">
        <v>1748</v>
      </c>
      <c r="J695" s="128">
        <f t="shared" si="20"/>
        <v>5</v>
      </c>
      <c r="K695" s="128" t="s">
        <v>1751</v>
      </c>
      <c r="L695" s="128" t="s">
        <v>30</v>
      </c>
      <c r="M695" s="129" t="s">
        <v>1752</v>
      </c>
      <c r="N695" s="129" t="s">
        <v>28</v>
      </c>
      <c r="O695" s="129"/>
      <c r="P695" s="129" t="str">
        <f t="shared" si="21"/>
        <v/>
      </c>
      <c r="Q695" s="130"/>
      <c r="R695" s="128">
        <v>37.51</v>
      </c>
      <c r="S695" s="128">
        <v>49.56</v>
      </c>
      <c r="T695" s="130"/>
      <c r="U695" s="152"/>
    </row>
    <row r="696" spans="1:21" ht="15.75" thickBot="1">
      <c r="A696" s="45">
        <v>1268</v>
      </c>
      <c r="B696" s="123"/>
      <c r="C696" s="123"/>
      <c r="D696" s="123"/>
      <c r="E696" s="123"/>
      <c r="F696" s="123"/>
      <c r="G696" s="127" t="s">
        <v>210</v>
      </c>
      <c r="H696" s="128">
        <v>1999</v>
      </c>
      <c r="I696" s="128" t="s">
        <v>1748</v>
      </c>
      <c r="J696" s="128">
        <f t="shared" si="20"/>
        <v>5</v>
      </c>
      <c r="K696" s="128" t="s">
        <v>1798</v>
      </c>
      <c r="L696" s="128" t="s">
        <v>30</v>
      </c>
      <c r="M696" s="129" t="s">
        <v>1065</v>
      </c>
      <c r="N696" s="129" t="s">
        <v>28</v>
      </c>
      <c r="O696" s="129"/>
      <c r="P696" s="129" t="str">
        <f t="shared" si="21"/>
        <v/>
      </c>
      <c r="Q696" s="130"/>
      <c r="R696" s="128">
        <v>11.26</v>
      </c>
      <c r="S696" s="130"/>
      <c r="T696" s="130"/>
      <c r="U696" s="152"/>
    </row>
    <row r="697" spans="1:21" ht="15.75" thickBot="1">
      <c r="A697" s="45">
        <v>1268</v>
      </c>
      <c r="B697" s="123"/>
      <c r="C697" s="123"/>
      <c r="D697" s="123"/>
      <c r="E697" s="123"/>
      <c r="F697" s="123"/>
      <c r="G697" s="127" t="s">
        <v>210</v>
      </c>
      <c r="H697" s="128">
        <v>1999</v>
      </c>
      <c r="I697" s="128" t="s">
        <v>1748</v>
      </c>
      <c r="J697" s="128">
        <f t="shared" si="20"/>
        <v>5</v>
      </c>
      <c r="K697" s="128" t="s">
        <v>1799</v>
      </c>
      <c r="L697" s="128" t="s">
        <v>30</v>
      </c>
      <c r="M697" s="129" t="s">
        <v>31</v>
      </c>
      <c r="N697" s="129" t="s">
        <v>28</v>
      </c>
      <c r="O697" s="129"/>
      <c r="P697" s="129" t="str">
        <f t="shared" si="21"/>
        <v/>
      </c>
      <c r="Q697" s="128" t="s">
        <v>1800</v>
      </c>
      <c r="R697" s="128">
        <v>3.14</v>
      </c>
      <c r="S697" s="130"/>
      <c r="T697" s="130" t="s">
        <v>31</v>
      </c>
      <c r="U697" s="152"/>
    </row>
    <row r="698" spans="1:21" ht="15.75" thickBot="1">
      <c r="A698" s="45">
        <v>1268</v>
      </c>
      <c r="B698" s="123"/>
      <c r="C698" s="123"/>
      <c r="D698" s="123"/>
      <c r="E698" s="123"/>
      <c r="F698" s="123"/>
      <c r="G698" s="127" t="s">
        <v>210</v>
      </c>
      <c r="H698" s="128">
        <v>1999</v>
      </c>
      <c r="I698" s="128" t="s">
        <v>1748</v>
      </c>
      <c r="J698" s="128">
        <f t="shared" si="20"/>
        <v>5</v>
      </c>
      <c r="K698" s="128" t="s">
        <v>1801</v>
      </c>
      <c r="L698" s="128" t="s">
        <v>30</v>
      </c>
      <c r="M698" s="129" t="s">
        <v>31</v>
      </c>
      <c r="N698" s="129" t="s">
        <v>28</v>
      </c>
      <c r="O698" s="129"/>
      <c r="P698" s="129" t="str">
        <f t="shared" si="21"/>
        <v/>
      </c>
      <c r="Q698" s="128" t="s">
        <v>1802</v>
      </c>
      <c r="R698" s="128">
        <v>9.8699999999999992</v>
      </c>
      <c r="S698" s="130"/>
      <c r="T698" s="130" t="s">
        <v>31</v>
      </c>
      <c r="U698" s="152"/>
    </row>
    <row r="699" spans="1:21" ht="15.75" thickBot="1">
      <c r="A699" s="45">
        <v>1268</v>
      </c>
      <c r="B699" s="123"/>
      <c r="C699" s="123"/>
      <c r="D699" s="123"/>
      <c r="E699" s="123"/>
      <c r="F699" s="123"/>
      <c r="G699" s="127" t="s">
        <v>210</v>
      </c>
      <c r="H699" s="128">
        <v>1999</v>
      </c>
      <c r="I699" s="128" t="s">
        <v>1748</v>
      </c>
      <c r="J699" s="128">
        <f t="shared" si="20"/>
        <v>5</v>
      </c>
      <c r="K699" s="128" t="s">
        <v>278</v>
      </c>
      <c r="L699" s="128" t="s">
        <v>30</v>
      </c>
      <c r="M699" s="129" t="s">
        <v>31</v>
      </c>
      <c r="N699" s="129" t="s">
        <v>32</v>
      </c>
      <c r="O699" s="129"/>
      <c r="P699" s="129" t="str">
        <f t="shared" si="21"/>
        <v/>
      </c>
      <c r="Q699" s="128" t="s">
        <v>1803</v>
      </c>
      <c r="R699" s="128">
        <v>38.22</v>
      </c>
      <c r="S699" s="128">
        <v>50.44</v>
      </c>
      <c r="T699" s="130" t="s">
        <v>31</v>
      </c>
      <c r="U699" s="152"/>
    </row>
    <row r="700" spans="1:21" ht="15.75" hidden="1" thickBot="1">
      <c r="A700" s="45">
        <v>1269</v>
      </c>
      <c r="B700" s="123"/>
      <c r="C700" s="123"/>
      <c r="D700" s="123"/>
      <c r="E700" s="123"/>
      <c r="F700" s="123"/>
      <c r="G700" s="127" t="s">
        <v>210</v>
      </c>
      <c r="H700" s="128">
        <v>1999</v>
      </c>
      <c r="I700" s="128" t="s">
        <v>38</v>
      </c>
      <c r="J700" s="128">
        <f t="shared" si="20"/>
        <v>18</v>
      </c>
      <c r="K700" s="128" t="s">
        <v>1804</v>
      </c>
      <c r="L700" s="128" t="s">
        <v>30</v>
      </c>
      <c r="M700" s="129" t="s">
        <v>31</v>
      </c>
      <c r="N700" s="129" t="s">
        <v>28</v>
      </c>
      <c r="O700" s="129" t="s">
        <v>28</v>
      </c>
      <c r="P700" s="129" t="str">
        <f t="shared" si="21"/>
        <v>N/A</v>
      </c>
      <c r="Q700" s="128" t="s">
        <v>1805</v>
      </c>
      <c r="R700" s="128">
        <v>0.39</v>
      </c>
      <c r="S700" s="130"/>
      <c r="T700" s="130" t="s">
        <v>31</v>
      </c>
      <c r="U700" s="154" t="s">
        <v>1806</v>
      </c>
    </row>
    <row r="701" spans="1:21" ht="15.75" hidden="1" thickBot="1">
      <c r="A701" s="45">
        <v>1269</v>
      </c>
      <c r="B701" s="123"/>
      <c r="C701" s="123"/>
      <c r="D701" s="123"/>
      <c r="E701" s="123"/>
      <c r="F701" s="123"/>
      <c r="G701" s="127" t="s">
        <v>210</v>
      </c>
      <c r="H701" s="128">
        <v>1999</v>
      </c>
      <c r="I701" s="128" t="s">
        <v>38</v>
      </c>
      <c r="J701" s="128">
        <f t="shared" si="20"/>
        <v>18</v>
      </c>
      <c r="K701" s="128" t="s">
        <v>1807</v>
      </c>
      <c r="L701" s="128" t="s">
        <v>1672</v>
      </c>
      <c r="M701" s="129" t="s">
        <v>1003</v>
      </c>
      <c r="N701" s="129" t="s">
        <v>28</v>
      </c>
      <c r="O701" s="129" t="s">
        <v>28</v>
      </c>
      <c r="P701" s="129" t="str">
        <f t="shared" si="21"/>
        <v>N/A</v>
      </c>
      <c r="Q701" s="128" t="s">
        <v>1004</v>
      </c>
      <c r="R701" s="128">
        <v>0</v>
      </c>
      <c r="S701" s="130"/>
      <c r="T701" s="130"/>
      <c r="U701" s="154"/>
    </row>
    <row r="702" spans="1:21" ht="15.75" hidden="1" thickBot="1">
      <c r="A702" s="45">
        <v>1269</v>
      </c>
      <c r="B702" s="123"/>
      <c r="C702" s="123"/>
      <c r="D702" s="123"/>
      <c r="E702" s="123"/>
      <c r="F702" s="123"/>
      <c r="G702" s="127" t="s">
        <v>210</v>
      </c>
      <c r="H702" s="128">
        <v>1999</v>
      </c>
      <c r="I702" s="128" t="s">
        <v>38</v>
      </c>
      <c r="J702" s="128">
        <f t="shared" si="20"/>
        <v>18</v>
      </c>
      <c r="K702" s="128" t="s">
        <v>1808</v>
      </c>
      <c r="L702" s="128" t="s">
        <v>30</v>
      </c>
      <c r="M702" s="129" t="s">
        <v>1065</v>
      </c>
      <c r="N702" s="129" t="s">
        <v>28</v>
      </c>
      <c r="O702" s="129" t="s">
        <v>28</v>
      </c>
      <c r="P702" s="129" t="str">
        <f t="shared" si="21"/>
        <v>N/A</v>
      </c>
      <c r="Q702" s="130"/>
      <c r="R702" s="128">
        <v>0.81</v>
      </c>
      <c r="S702" s="130"/>
      <c r="T702" s="130"/>
      <c r="U702" s="154"/>
    </row>
    <row r="703" spans="1:21" ht="15.75" hidden="1" thickBot="1">
      <c r="A703" s="45">
        <v>1269</v>
      </c>
      <c r="B703" s="123"/>
      <c r="C703" s="123"/>
      <c r="D703" s="123"/>
      <c r="E703" s="123"/>
      <c r="F703" s="123"/>
      <c r="G703" s="127" t="s">
        <v>210</v>
      </c>
      <c r="H703" s="128">
        <v>1999</v>
      </c>
      <c r="I703" s="128" t="s">
        <v>38</v>
      </c>
      <c r="J703" s="128">
        <f t="shared" si="20"/>
        <v>18</v>
      </c>
      <c r="K703" s="128" t="s">
        <v>1809</v>
      </c>
      <c r="L703" s="128" t="s">
        <v>30</v>
      </c>
      <c r="M703" s="129" t="s">
        <v>31</v>
      </c>
      <c r="N703" s="129" t="s">
        <v>28</v>
      </c>
      <c r="O703" s="129" t="s">
        <v>28</v>
      </c>
      <c r="P703" s="129" t="str">
        <f t="shared" si="21"/>
        <v>N/A</v>
      </c>
      <c r="Q703" s="128" t="s">
        <v>1810</v>
      </c>
      <c r="R703" s="128">
        <v>12.49</v>
      </c>
      <c r="S703" s="130"/>
      <c r="T703" s="130" t="s">
        <v>31</v>
      </c>
      <c r="U703" s="154"/>
    </row>
    <row r="704" spans="1:21" ht="15.75" hidden="1" thickBot="1">
      <c r="A704" s="45">
        <v>1269</v>
      </c>
      <c r="B704" s="123"/>
      <c r="C704" s="123"/>
      <c r="D704" s="123"/>
      <c r="E704" s="123"/>
      <c r="F704" s="123"/>
      <c r="G704" s="127" t="s">
        <v>210</v>
      </c>
      <c r="H704" s="128">
        <v>1999</v>
      </c>
      <c r="I704" s="128" t="s">
        <v>38</v>
      </c>
      <c r="J704" s="128">
        <f t="shared" si="20"/>
        <v>18</v>
      </c>
      <c r="K704" s="128" t="s">
        <v>1811</v>
      </c>
      <c r="L704" s="128" t="s">
        <v>30</v>
      </c>
      <c r="M704" s="129" t="s">
        <v>31</v>
      </c>
      <c r="N704" s="129" t="s">
        <v>28</v>
      </c>
      <c r="O704" s="129" t="s">
        <v>28</v>
      </c>
      <c r="P704" s="129" t="str">
        <f t="shared" si="21"/>
        <v>N/A</v>
      </c>
      <c r="Q704" s="128" t="s">
        <v>1812</v>
      </c>
      <c r="R704" s="128">
        <v>0.49</v>
      </c>
      <c r="S704" s="130"/>
      <c r="T704" s="130" t="s">
        <v>31</v>
      </c>
      <c r="U704" s="154"/>
    </row>
    <row r="705" spans="1:21" ht="15.75" hidden="1" thickBot="1">
      <c r="A705" s="45">
        <v>1269</v>
      </c>
      <c r="B705" s="123"/>
      <c r="C705" s="123"/>
      <c r="D705" s="123"/>
      <c r="E705" s="123"/>
      <c r="F705" s="123"/>
      <c r="G705" s="127" t="s">
        <v>210</v>
      </c>
      <c r="H705" s="128">
        <v>1999</v>
      </c>
      <c r="I705" s="128" t="s">
        <v>38</v>
      </c>
      <c r="J705" s="128">
        <f t="shared" si="20"/>
        <v>18</v>
      </c>
      <c r="K705" s="128" t="s">
        <v>1741</v>
      </c>
      <c r="L705" s="128" t="s">
        <v>30</v>
      </c>
      <c r="M705" s="129" t="s">
        <v>31</v>
      </c>
      <c r="N705" s="129" t="s">
        <v>28</v>
      </c>
      <c r="O705" s="129" t="s">
        <v>28</v>
      </c>
      <c r="P705" s="129" t="str">
        <f t="shared" si="21"/>
        <v>N/A</v>
      </c>
      <c r="Q705" s="128" t="s">
        <v>1742</v>
      </c>
      <c r="R705" s="128">
        <v>16.899999999999999</v>
      </c>
      <c r="S705" s="130"/>
      <c r="T705" s="130" t="s">
        <v>31</v>
      </c>
      <c r="U705" s="154"/>
    </row>
    <row r="706" spans="1:21" ht="15.75" hidden="1" thickBot="1">
      <c r="A706" s="45">
        <v>1269</v>
      </c>
      <c r="B706" s="123"/>
      <c r="C706" s="123"/>
      <c r="D706" s="123"/>
      <c r="E706" s="123"/>
      <c r="F706" s="123"/>
      <c r="G706" s="127" t="s">
        <v>210</v>
      </c>
      <c r="H706" s="128">
        <v>1999</v>
      </c>
      <c r="I706" s="128" t="s">
        <v>38</v>
      </c>
      <c r="J706" s="128">
        <f t="shared" ref="J706:J769" si="22">COUNTIF(A$2:A$2215, A706)</f>
        <v>18</v>
      </c>
      <c r="K706" s="128" t="s">
        <v>1813</v>
      </c>
      <c r="L706" s="128" t="s">
        <v>30</v>
      </c>
      <c r="M706" s="129" t="s">
        <v>201</v>
      </c>
      <c r="N706" s="129" t="s">
        <v>28</v>
      </c>
      <c r="O706" s="129" t="s">
        <v>28</v>
      </c>
      <c r="P706" s="129" t="str">
        <f t="shared" si="21"/>
        <v>N/A</v>
      </c>
      <c r="Q706" s="130"/>
      <c r="R706" s="128">
        <v>0.14000000000000001</v>
      </c>
      <c r="S706" s="130"/>
      <c r="T706" s="130"/>
      <c r="U706" s="154"/>
    </row>
    <row r="707" spans="1:21" ht="15.75" hidden="1" thickBot="1">
      <c r="A707" s="45">
        <v>1269</v>
      </c>
      <c r="B707" s="123"/>
      <c r="C707" s="123"/>
      <c r="D707" s="123"/>
      <c r="E707" s="123"/>
      <c r="F707" s="123"/>
      <c r="G707" s="127" t="s">
        <v>210</v>
      </c>
      <c r="H707" s="128">
        <v>1999</v>
      </c>
      <c r="I707" s="128" t="s">
        <v>38</v>
      </c>
      <c r="J707" s="128">
        <f t="shared" si="22"/>
        <v>18</v>
      </c>
      <c r="K707" s="128" t="s">
        <v>1793</v>
      </c>
      <c r="L707" s="128" t="s">
        <v>30</v>
      </c>
      <c r="M707" s="129" t="s">
        <v>31</v>
      </c>
      <c r="N707" s="129" t="s">
        <v>28</v>
      </c>
      <c r="O707" s="129" t="s">
        <v>28</v>
      </c>
      <c r="P707" s="129" t="str">
        <f t="shared" ref="P707:P770" si="23">IF(O707="N", "N/A", IF(AND(N707="N",  O707="Y"), "N", IF(AND(O707="Y", N707="Y"), "Y", "")))</f>
        <v>N/A</v>
      </c>
      <c r="Q707" s="130"/>
      <c r="R707" s="128">
        <v>0.77</v>
      </c>
      <c r="S707" s="130"/>
      <c r="T707" s="130"/>
      <c r="U707" s="154"/>
    </row>
    <row r="708" spans="1:21" ht="15.75" hidden="1" thickBot="1">
      <c r="A708" s="45">
        <v>1269</v>
      </c>
      <c r="B708" s="123"/>
      <c r="C708" s="123"/>
      <c r="D708" s="123"/>
      <c r="E708" s="123"/>
      <c r="F708" s="123"/>
      <c r="G708" s="127" t="s">
        <v>210</v>
      </c>
      <c r="H708" s="128">
        <v>1999</v>
      </c>
      <c r="I708" s="128" t="s">
        <v>38</v>
      </c>
      <c r="J708" s="128">
        <f t="shared" si="22"/>
        <v>18</v>
      </c>
      <c r="K708" s="128" t="s">
        <v>1743</v>
      </c>
      <c r="L708" s="128" t="s">
        <v>30</v>
      </c>
      <c r="M708" s="129" t="s">
        <v>1003</v>
      </c>
      <c r="N708" s="129" t="s">
        <v>28</v>
      </c>
      <c r="O708" s="129" t="s">
        <v>28</v>
      </c>
      <c r="P708" s="129" t="str">
        <f t="shared" si="23"/>
        <v>N/A</v>
      </c>
      <c r="Q708" s="128" t="s">
        <v>1004</v>
      </c>
      <c r="R708" s="128">
        <v>0.71</v>
      </c>
      <c r="S708" s="130"/>
      <c r="T708" s="130"/>
      <c r="U708" s="154"/>
    </row>
    <row r="709" spans="1:21" ht="15.75" hidden="1" thickBot="1">
      <c r="A709" s="45">
        <v>1269</v>
      </c>
      <c r="B709" s="123"/>
      <c r="C709" s="123"/>
      <c r="D709" s="123"/>
      <c r="E709" s="123"/>
      <c r="F709" s="123"/>
      <c r="G709" s="127" t="s">
        <v>210</v>
      </c>
      <c r="H709" s="128">
        <v>1999</v>
      </c>
      <c r="I709" s="128" t="s">
        <v>38</v>
      </c>
      <c r="J709" s="128">
        <f t="shared" si="22"/>
        <v>18</v>
      </c>
      <c r="K709" s="128" t="s">
        <v>1814</v>
      </c>
      <c r="L709" s="128" t="s">
        <v>30</v>
      </c>
      <c r="M709" s="129" t="s">
        <v>201</v>
      </c>
      <c r="N709" s="129" t="s">
        <v>28</v>
      </c>
      <c r="O709" s="129" t="s">
        <v>28</v>
      </c>
      <c r="P709" s="129" t="str">
        <f t="shared" si="23"/>
        <v>N/A</v>
      </c>
      <c r="Q709" s="128" t="s">
        <v>1815</v>
      </c>
      <c r="R709" s="128">
        <v>0</v>
      </c>
      <c r="S709" s="130"/>
      <c r="T709" s="130" t="s">
        <v>998</v>
      </c>
      <c r="U709" s="154"/>
    </row>
    <row r="710" spans="1:21" ht="15.75" hidden="1" thickBot="1">
      <c r="A710" s="45">
        <v>1269</v>
      </c>
      <c r="B710" s="123"/>
      <c r="C710" s="123"/>
      <c r="D710" s="123"/>
      <c r="E710" s="123"/>
      <c r="F710" s="123"/>
      <c r="G710" s="127" t="s">
        <v>210</v>
      </c>
      <c r="H710" s="128">
        <v>1999</v>
      </c>
      <c r="I710" s="128" t="s">
        <v>38</v>
      </c>
      <c r="J710" s="128">
        <f t="shared" si="22"/>
        <v>18</v>
      </c>
      <c r="K710" s="128" t="s">
        <v>1772</v>
      </c>
      <c r="L710" s="128" t="s">
        <v>40</v>
      </c>
      <c r="M710" s="129" t="s">
        <v>1065</v>
      </c>
      <c r="N710" s="129" t="s">
        <v>28</v>
      </c>
      <c r="O710" s="129" t="s">
        <v>28</v>
      </c>
      <c r="P710" s="129" t="str">
        <f t="shared" si="23"/>
        <v>N/A</v>
      </c>
      <c r="Q710" s="130"/>
      <c r="R710" s="128">
        <v>0.88</v>
      </c>
      <c r="S710" s="130"/>
      <c r="T710" s="130"/>
      <c r="U710" s="154"/>
    </row>
    <row r="711" spans="1:21" ht="15.75" hidden="1" thickBot="1">
      <c r="A711" s="45">
        <v>1269</v>
      </c>
      <c r="B711" s="123"/>
      <c r="C711" s="123"/>
      <c r="D711" s="123"/>
      <c r="E711" s="123"/>
      <c r="F711" s="123"/>
      <c r="G711" s="127" t="s">
        <v>210</v>
      </c>
      <c r="H711" s="128">
        <v>1999</v>
      </c>
      <c r="I711" s="128" t="s">
        <v>38</v>
      </c>
      <c r="J711" s="128">
        <f t="shared" si="22"/>
        <v>18</v>
      </c>
      <c r="K711" s="128" t="s">
        <v>1816</v>
      </c>
      <c r="L711" s="128" t="s">
        <v>30</v>
      </c>
      <c r="M711" s="129" t="s">
        <v>1003</v>
      </c>
      <c r="N711" s="129" t="s">
        <v>28</v>
      </c>
      <c r="O711" s="129" t="s">
        <v>28</v>
      </c>
      <c r="P711" s="129" t="str">
        <f t="shared" si="23"/>
        <v>N/A</v>
      </c>
      <c r="Q711" s="128" t="s">
        <v>1004</v>
      </c>
      <c r="R711" s="128">
        <v>0.47</v>
      </c>
      <c r="S711" s="130"/>
      <c r="T711" s="130"/>
      <c r="U711" s="154"/>
    </row>
    <row r="712" spans="1:21" ht="15.75" hidden="1" thickBot="1">
      <c r="A712" s="45">
        <v>1269</v>
      </c>
      <c r="B712" s="123"/>
      <c r="C712" s="123"/>
      <c r="D712" s="123"/>
      <c r="E712" s="123"/>
      <c r="F712" s="123"/>
      <c r="G712" s="127" t="s">
        <v>210</v>
      </c>
      <c r="H712" s="128">
        <v>1999</v>
      </c>
      <c r="I712" s="128" t="s">
        <v>38</v>
      </c>
      <c r="J712" s="128">
        <f t="shared" si="22"/>
        <v>18</v>
      </c>
      <c r="K712" s="128" t="s">
        <v>1817</v>
      </c>
      <c r="L712" s="128" t="s">
        <v>30</v>
      </c>
      <c r="M712" s="129" t="s">
        <v>34</v>
      </c>
      <c r="N712" s="129" t="s">
        <v>28</v>
      </c>
      <c r="O712" s="129" t="s">
        <v>28</v>
      </c>
      <c r="P712" s="129" t="str">
        <f t="shared" si="23"/>
        <v>N/A</v>
      </c>
      <c r="Q712" s="128" t="s">
        <v>1818</v>
      </c>
      <c r="R712" s="128">
        <v>1.1499999999999999</v>
      </c>
      <c r="S712" s="130"/>
      <c r="T712" s="130" t="s">
        <v>998</v>
      </c>
      <c r="U712" s="154"/>
    </row>
    <row r="713" spans="1:21" ht="15.75" hidden="1" thickBot="1">
      <c r="A713" s="45">
        <v>1269</v>
      </c>
      <c r="B713" s="123"/>
      <c r="C713" s="123"/>
      <c r="D713" s="123"/>
      <c r="E713" s="123"/>
      <c r="F713" s="123"/>
      <c r="G713" s="127" t="s">
        <v>210</v>
      </c>
      <c r="H713" s="128">
        <v>1999</v>
      </c>
      <c r="I713" s="128" t="s">
        <v>38</v>
      </c>
      <c r="J713" s="128">
        <f t="shared" si="22"/>
        <v>18</v>
      </c>
      <c r="K713" s="128" t="s">
        <v>1819</v>
      </c>
      <c r="L713" s="128" t="s">
        <v>30</v>
      </c>
      <c r="M713" s="129" t="s">
        <v>31</v>
      </c>
      <c r="N713" s="129" t="s">
        <v>28</v>
      </c>
      <c r="O713" s="129" t="s">
        <v>28</v>
      </c>
      <c r="P713" s="129" t="str">
        <f t="shared" si="23"/>
        <v>N/A</v>
      </c>
      <c r="Q713" s="128" t="s">
        <v>1805</v>
      </c>
      <c r="R713" s="128">
        <v>0.26</v>
      </c>
      <c r="S713" s="130"/>
      <c r="T713" s="130" t="s">
        <v>31</v>
      </c>
      <c r="U713" s="154"/>
    </row>
    <row r="714" spans="1:21" ht="15.75" hidden="1" thickBot="1">
      <c r="A714" s="45">
        <v>1269</v>
      </c>
      <c r="B714" s="123"/>
      <c r="C714" s="123"/>
      <c r="D714" s="123"/>
      <c r="E714" s="123"/>
      <c r="F714" s="123"/>
      <c r="G714" s="127" t="s">
        <v>210</v>
      </c>
      <c r="H714" s="128">
        <v>1999</v>
      </c>
      <c r="I714" s="128" t="s">
        <v>38</v>
      </c>
      <c r="J714" s="128">
        <f t="shared" si="22"/>
        <v>18</v>
      </c>
      <c r="K714" s="128" t="s">
        <v>1820</v>
      </c>
      <c r="L714" s="128" t="s">
        <v>30</v>
      </c>
      <c r="M714" s="129" t="s">
        <v>31</v>
      </c>
      <c r="N714" s="129" t="s">
        <v>28</v>
      </c>
      <c r="O714" s="129" t="s">
        <v>28</v>
      </c>
      <c r="P714" s="129" t="str">
        <f t="shared" si="23"/>
        <v>N/A</v>
      </c>
      <c r="Q714" s="128" t="s">
        <v>1821</v>
      </c>
      <c r="R714" s="128">
        <v>0</v>
      </c>
      <c r="S714" s="130"/>
      <c r="T714" s="130" t="s">
        <v>31</v>
      </c>
      <c r="U714" s="154"/>
    </row>
    <row r="715" spans="1:21" ht="15.75" hidden="1" thickBot="1">
      <c r="A715" s="45">
        <v>1269</v>
      </c>
      <c r="B715" s="123"/>
      <c r="C715" s="123"/>
      <c r="D715" s="123"/>
      <c r="E715" s="123"/>
      <c r="F715" s="123"/>
      <c r="G715" s="127" t="s">
        <v>210</v>
      </c>
      <c r="H715" s="128">
        <v>1999</v>
      </c>
      <c r="I715" s="128" t="s">
        <v>38</v>
      </c>
      <c r="J715" s="128">
        <f t="shared" si="22"/>
        <v>18</v>
      </c>
      <c r="K715" s="128" t="s">
        <v>264</v>
      </c>
      <c r="L715" s="128" t="s">
        <v>30</v>
      </c>
      <c r="M715" s="129" t="s">
        <v>31</v>
      </c>
      <c r="N715" s="129" t="s">
        <v>28</v>
      </c>
      <c r="O715" s="129" t="s">
        <v>28</v>
      </c>
      <c r="P715" s="129" t="str">
        <f t="shared" si="23"/>
        <v>N/A</v>
      </c>
      <c r="Q715" s="130"/>
      <c r="R715" s="128">
        <v>25.37</v>
      </c>
      <c r="S715" s="128">
        <v>40.39</v>
      </c>
      <c r="T715" s="130"/>
      <c r="U715" s="154"/>
    </row>
    <row r="716" spans="1:21" ht="15.75" hidden="1" thickBot="1">
      <c r="A716" s="45">
        <v>1269</v>
      </c>
      <c r="B716" s="123"/>
      <c r="C716" s="123"/>
      <c r="D716" s="123"/>
      <c r="E716" s="123"/>
      <c r="F716" s="123"/>
      <c r="G716" s="127" t="s">
        <v>210</v>
      </c>
      <c r="H716" s="128">
        <v>1999</v>
      </c>
      <c r="I716" s="128" t="s">
        <v>38</v>
      </c>
      <c r="J716" s="128">
        <f t="shared" si="22"/>
        <v>18</v>
      </c>
      <c r="K716" s="128" t="s">
        <v>1822</v>
      </c>
      <c r="L716" s="128" t="s">
        <v>30</v>
      </c>
      <c r="M716" s="129" t="s">
        <v>31</v>
      </c>
      <c r="N716" s="129" t="s">
        <v>28</v>
      </c>
      <c r="O716" s="129" t="s">
        <v>28</v>
      </c>
      <c r="P716" s="129" t="str">
        <f t="shared" si="23"/>
        <v>N/A</v>
      </c>
      <c r="Q716" s="128" t="s">
        <v>1823</v>
      </c>
      <c r="R716" s="128">
        <v>0.25</v>
      </c>
      <c r="S716" s="130"/>
      <c r="T716" s="130" t="s">
        <v>31</v>
      </c>
      <c r="U716" s="154"/>
    </row>
    <row r="717" spans="1:21" ht="26.25" hidden="1" thickBot="1">
      <c r="A717" s="45">
        <v>1269</v>
      </c>
      <c r="B717" s="123"/>
      <c r="C717" s="123"/>
      <c r="D717" s="123"/>
      <c r="E717" s="123"/>
      <c r="F717" s="123"/>
      <c r="G717" s="127" t="s">
        <v>210</v>
      </c>
      <c r="H717" s="128">
        <v>1999</v>
      </c>
      <c r="I717" s="128" t="s">
        <v>38</v>
      </c>
      <c r="J717" s="128">
        <f t="shared" si="22"/>
        <v>18</v>
      </c>
      <c r="K717" s="128" t="s">
        <v>1746</v>
      </c>
      <c r="L717" s="128" t="s">
        <v>30</v>
      </c>
      <c r="M717" s="129" t="s">
        <v>201</v>
      </c>
      <c r="N717" s="129" t="s">
        <v>32</v>
      </c>
      <c r="O717" s="129" t="s">
        <v>32</v>
      </c>
      <c r="P717" s="129" t="str">
        <f t="shared" si="23"/>
        <v>Y</v>
      </c>
      <c r="Q717" s="128" t="s">
        <v>1824</v>
      </c>
      <c r="R717" s="128">
        <v>38.9</v>
      </c>
      <c r="S717" s="128">
        <v>59.61</v>
      </c>
      <c r="T717" s="130" t="s">
        <v>1051</v>
      </c>
      <c r="U717" s="154"/>
    </row>
    <row r="718" spans="1:21" ht="15.75" thickBot="1">
      <c r="A718" s="45">
        <v>1270</v>
      </c>
      <c r="B718" s="123"/>
      <c r="C718" s="123"/>
      <c r="D718" s="123"/>
      <c r="E718" s="123"/>
      <c r="F718" s="123"/>
      <c r="G718" s="127" t="s">
        <v>210</v>
      </c>
      <c r="H718" s="128">
        <v>1999</v>
      </c>
      <c r="I718" s="128" t="s">
        <v>1825</v>
      </c>
      <c r="J718" s="128">
        <f t="shared" si="22"/>
        <v>1</v>
      </c>
      <c r="K718" s="128" t="s">
        <v>253</v>
      </c>
      <c r="L718" s="128" t="s">
        <v>30</v>
      </c>
      <c r="M718" s="129" t="s">
        <v>31</v>
      </c>
      <c r="N718" s="129" t="s">
        <v>32</v>
      </c>
      <c r="O718" s="129"/>
      <c r="P718" s="129" t="str">
        <f t="shared" si="23"/>
        <v/>
      </c>
      <c r="Q718" s="130"/>
      <c r="R718" s="128">
        <v>100</v>
      </c>
      <c r="S718" s="130"/>
      <c r="T718" s="130"/>
      <c r="U718" s="152"/>
    </row>
    <row r="719" spans="1:21" ht="15.75" hidden="1" thickBot="1">
      <c r="A719" s="45">
        <v>1257</v>
      </c>
      <c r="B719" s="123"/>
      <c r="C719" s="123"/>
      <c r="D719" s="123"/>
      <c r="E719" s="123"/>
      <c r="F719" s="123"/>
      <c r="G719" s="127" t="s">
        <v>210</v>
      </c>
      <c r="H719" s="128">
        <v>2000</v>
      </c>
      <c r="I719" s="128" t="s">
        <v>1826</v>
      </c>
      <c r="J719" s="128">
        <f t="shared" si="22"/>
        <v>5</v>
      </c>
      <c r="K719" s="128" t="s">
        <v>260</v>
      </c>
      <c r="L719" s="128" t="s">
        <v>30</v>
      </c>
      <c r="M719" s="129" t="s">
        <v>31</v>
      </c>
      <c r="N719" s="129" t="s">
        <v>32</v>
      </c>
      <c r="O719" s="129" t="s">
        <v>28</v>
      </c>
      <c r="P719" s="129" t="str">
        <f t="shared" si="23"/>
        <v>N/A</v>
      </c>
      <c r="Q719" s="128" t="s">
        <v>1827</v>
      </c>
      <c r="R719" s="128">
        <v>28.21</v>
      </c>
      <c r="S719" s="128">
        <v>52.08</v>
      </c>
      <c r="T719" s="130" t="s">
        <v>31</v>
      </c>
      <c r="U719" s="154" t="s">
        <v>1828</v>
      </c>
    </row>
    <row r="720" spans="1:21" ht="15.75" hidden="1" thickBot="1">
      <c r="A720" s="45">
        <v>1257</v>
      </c>
      <c r="B720" s="123"/>
      <c r="C720" s="123"/>
      <c r="D720" s="123"/>
      <c r="E720" s="123"/>
      <c r="F720" s="123"/>
      <c r="G720" s="127" t="s">
        <v>210</v>
      </c>
      <c r="H720" s="128">
        <v>2000</v>
      </c>
      <c r="I720" s="128" t="s">
        <v>1826</v>
      </c>
      <c r="J720" s="128">
        <f t="shared" si="22"/>
        <v>5</v>
      </c>
      <c r="K720" s="128" t="s">
        <v>1829</v>
      </c>
      <c r="L720" s="128" t="s">
        <v>30</v>
      </c>
      <c r="M720" s="129" t="s">
        <v>1003</v>
      </c>
      <c r="N720" s="129" t="s">
        <v>28</v>
      </c>
      <c r="O720" s="129" t="s">
        <v>28</v>
      </c>
      <c r="P720" s="129" t="str">
        <f t="shared" si="23"/>
        <v>N/A</v>
      </c>
      <c r="Q720" s="128" t="s">
        <v>1830</v>
      </c>
      <c r="R720" s="128">
        <v>2.77</v>
      </c>
      <c r="S720" s="130"/>
      <c r="T720" s="130"/>
      <c r="U720" s="154"/>
    </row>
    <row r="721" spans="1:21" ht="15.75" thickBot="1">
      <c r="A721" s="45">
        <v>1257</v>
      </c>
      <c r="B721" s="123"/>
      <c r="C721" s="123"/>
      <c r="D721" s="123"/>
      <c r="E721" s="123"/>
      <c r="F721" s="123"/>
      <c r="G721" s="127" t="s">
        <v>210</v>
      </c>
      <c r="H721" s="128">
        <v>2000</v>
      </c>
      <c r="I721" s="128" t="s">
        <v>1826</v>
      </c>
      <c r="J721" s="128">
        <f t="shared" si="22"/>
        <v>5</v>
      </c>
      <c r="K721" s="128" t="s">
        <v>289</v>
      </c>
      <c r="L721" s="128" t="s">
        <v>30</v>
      </c>
      <c r="M721" s="129" t="s">
        <v>34</v>
      </c>
      <c r="N721" s="129" t="s">
        <v>28</v>
      </c>
      <c r="O721" s="129" t="s">
        <v>32</v>
      </c>
      <c r="P721" s="129" t="str">
        <f t="shared" si="23"/>
        <v>N</v>
      </c>
      <c r="Q721" s="128" t="s">
        <v>1831</v>
      </c>
      <c r="R721" s="128">
        <v>38.07</v>
      </c>
      <c r="S721" s="128">
        <v>47.92</v>
      </c>
      <c r="T721" s="130" t="s">
        <v>998</v>
      </c>
      <c r="U721" s="154"/>
    </row>
    <row r="722" spans="1:21" ht="15.75" hidden="1" thickBot="1">
      <c r="A722" s="45">
        <v>1257</v>
      </c>
      <c r="B722" s="123"/>
      <c r="C722" s="123"/>
      <c r="D722" s="123"/>
      <c r="E722" s="123"/>
      <c r="F722" s="123"/>
      <c r="G722" s="127" t="s">
        <v>210</v>
      </c>
      <c r="H722" s="128">
        <v>2000</v>
      </c>
      <c r="I722" s="128" t="s">
        <v>1826</v>
      </c>
      <c r="J722" s="128">
        <f t="shared" si="22"/>
        <v>5</v>
      </c>
      <c r="K722" s="128" t="s">
        <v>1832</v>
      </c>
      <c r="L722" s="128" t="s">
        <v>30</v>
      </c>
      <c r="M722" s="129" t="s">
        <v>31</v>
      </c>
      <c r="N722" s="129" t="s">
        <v>28</v>
      </c>
      <c r="O722" s="129" t="s">
        <v>28</v>
      </c>
      <c r="P722" s="129" t="str">
        <f t="shared" si="23"/>
        <v>N/A</v>
      </c>
      <c r="Q722" s="128" t="s">
        <v>1833</v>
      </c>
      <c r="R722" s="128">
        <v>8.56</v>
      </c>
      <c r="S722" s="130"/>
      <c r="T722" s="130" t="s">
        <v>31</v>
      </c>
      <c r="U722" s="154"/>
    </row>
    <row r="723" spans="1:21" ht="15.75" hidden="1" thickBot="1">
      <c r="A723" s="45">
        <v>1257</v>
      </c>
      <c r="B723" s="123"/>
      <c r="C723" s="123"/>
      <c r="D723" s="123"/>
      <c r="E723" s="123"/>
      <c r="F723" s="123"/>
      <c r="G723" s="127" t="s">
        <v>210</v>
      </c>
      <c r="H723" s="128">
        <v>2000</v>
      </c>
      <c r="I723" s="128" t="s">
        <v>1826</v>
      </c>
      <c r="J723" s="128">
        <f t="shared" si="22"/>
        <v>5</v>
      </c>
      <c r="K723" s="128" t="s">
        <v>1794</v>
      </c>
      <c r="L723" s="128" t="s">
        <v>40</v>
      </c>
      <c r="M723" s="129" t="s">
        <v>34</v>
      </c>
      <c r="N723" s="129" t="s">
        <v>28</v>
      </c>
      <c r="O723" s="129" t="s">
        <v>28</v>
      </c>
      <c r="P723" s="129" t="str">
        <f t="shared" si="23"/>
        <v>N/A</v>
      </c>
      <c r="Q723" s="132" t="s">
        <v>1787</v>
      </c>
      <c r="R723" s="128">
        <v>22.09</v>
      </c>
      <c r="S723" s="130"/>
      <c r="T723" s="130"/>
      <c r="U723" s="154"/>
    </row>
    <row r="724" spans="1:21" ht="15.75" hidden="1" thickBot="1">
      <c r="A724" s="45">
        <v>1258</v>
      </c>
      <c r="B724" s="123"/>
      <c r="C724" s="123"/>
      <c r="D724" s="123"/>
      <c r="E724" s="123"/>
      <c r="F724" s="123"/>
      <c r="G724" s="127" t="s">
        <v>210</v>
      </c>
      <c r="H724" s="128">
        <v>2000</v>
      </c>
      <c r="I724" s="128" t="s">
        <v>1834</v>
      </c>
      <c r="J724" s="128">
        <f t="shared" si="22"/>
        <v>1</v>
      </c>
      <c r="K724" s="128" t="s">
        <v>252</v>
      </c>
      <c r="L724" s="128" t="s">
        <v>30</v>
      </c>
      <c r="M724" s="129" t="s">
        <v>31</v>
      </c>
      <c r="N724" s="129" t="s">
        <v>32</v>
      </c>
      <c r="O724" s="129" t="s">
        <v>32</v>
      </c>
      <c r="P724" s="129" t="str">
        <f t="shared" si="23"/>
        <v>Y</v>
      </c>
      <c r="Q724" s="130"/>
      <c r="R724" s="128">
        <v>97.65</v>
      </c>
      <c r="S724" s="130"/>
      <c r="T724" s="130"/>
      <c r="U724" s="154"/>
    </row>
    <row r="725" spans="1:21" ht="15.75" hidden="1" thickBot="1">
      <c r="A725" s="45">
        <v>1259</v>
      </c>
      <c r="B725" s="123"/>
      <c r="C725" s="123"/>
      <c r="D725" s="123"/>
      <c r="E725" s="123"/>
      <c r="F725" s="123"/>
      <c r="G725" s="127" t="s">
        <v>210</v>
      </c>
      <c r="H725" s="128">
        <v>2000</v>
      </c>
      <c r="I725" s="128" t="s">
        <v>1835</v>
      </c>
      <c r="J725" s="128">
        <f t="shared" si="22"/>
        <v>8</v>
      </c>
      <c r="K725" s="128" t="s">
        <v>261</v>
      </c>
      <c r="L725" s="128" t="s">
        <v>30</v>
      </c>
      <c r="M725" s="129" t="s">
        <v>31</v>
      </c>
      <c r="N725" s="129" t="s">
        <v>32</v>
      </c>
      <c r="O725" s="129" t="s">
        <v>28</v>
      </c>
      <c r="P725" s="129" t="str">
        <f t="shared" si="23"/>
        <v>N/A</v>
      </c>
      <c r="Q725" s="130"/>
      <c r="R725" s="128">
        <v>35.909999999999997</v>
      </c>
      <c r="S725" s="128">
        <v>58.02</v>
      </c>
      <c r="T725" s="130"/>
      <c r="U725" s="154" t="s">
        <v>1836</v>
      </c>
    </row>
    <row r="726" spans="1:21" ht="15.75" thickBot="1">
      <c r="A726" s="45">
        <v>1259</v>
      </c>
      <c r="B726" s="123"/>
      <c r="C726" s="123"/>
      <c r="D726" s="123"/>
      <c r="E726" s="123"/>
      <c r="F726" s="123"/>
      <c r="G726" s="127" t="s">
        <v>210</v>
      </c>
      <c r="H726" s="128">
        <v>2000</v>
      </c>
      <c r="I726" s="128" t="s">
        <v>1835</v>
      </c>
      <c r="J726" s="128">
        <f t="shared" si="22"/>
        <v>8</v>
      </c>
      <c r="K726" s="128" t="s">
        <v>1837</v>
      </c>
      <c r="L726" s="128" t="s">
        <v>40</v>
      </c>
      <c r="M726" s="129" t="s">
        <v>1065</v>
      </c>
      <c r="N726" s="129" t="s">
        <v>28</v>
      </c>
      <c r="O726" s="129" t="s">
        <v>32</v>
      </c>
      <c r="P726" s="129" t="str">
        <f t="shared" si="23"/>
        <v>N</v>
      </c>
      <c r="Q726" s="128" t="s">
        <v>1838</v>
      </c>
      <c r="R726" s="128">
        <v>10.49</v>
      </c>
      <c r="S726" s="130"/>
      <c r="T726" s="130" t="s">
        <v>1015</v>
      </c>
      <c r="U726" s="154" t="s">
        <v>1838</v>
      </c>
    </row>
    <row r="727" spans="1:21" ht="15.75" hidden="1" thickBot="1">
      <c r="A727" s="45">
        <v>1259</v>
      </c>
      <c r="B727" s="123"/>
      <c r="C727" s="123"/>
      <c r="D727" s="123"/>
      <c r="E727" s="123"/>
      <c r="F727" s="123"/>
      <c r="G727" s="127" t="s">
        <v>210</v>
      </c>
      <c r="H727" s="128">
        <v>2000</v>
      </c>
      <c r="I727" s="128" t="s">
        <v>1835</v>
      </c>
      <c r="J727" s="128">
        <f t="shared" si="22"/>
        <v>8</v>
      </c>
      <c r="K727" s="128" t="s">
        <v>1839</v>
      </c>
      <c r="L727" s="128" t="s">
        <v>30</v>
      </c>
      <c r="M727" s="129" t="s">
        <v>31</v>
      </c>
      <c r="N727" s="129" t="s">
        <v>28</v>
      </c>
      <c r="O727" s="129" t="s">
        <v>28</v>
      </c>
      <c r="P727" s="129" t="str">
        <f t="shared" si="23"/>
        <v>N/A</v>
      </c>
      <c r="Q727" s="128" t="s">
        <v>1840</v>
      </c>
      <c r="R727" s="128">
        <v>2.5099999999999998</v>
      </c>
      <c r="S727" s="130"/>
      <c r="T727" s="130" t="s">
        <v>31</v>
      </c>
      <c r="U727" s="154" t="s">
        <v>1841</v>
      </c>
    </row>
    <row r="728" spans="1:21" ht="15.75" hidden="1" thickBot="1">
      <c r="A728" s="45">
        <v>1259</v>
      </c>
      <c r="B728" s="123"/>
      <c r="C728" s="123"/>
      <c r="D728" s="123"/>
      <c r="E728" s="123"/>
      <c r="F728" s="123"/>
      <c r="G728" s="127" t="s">
        <v>210</v>
      </c>
      <c r="H728" s="128">
        <v>2000</v>
      </c>
      <c r="I728" s="128" t="s">
        <v>1835</v>
      </c>
      <c r="J728" s="128">
        <f t="shared" si="22"/>
        <v>8</v>
      </c>
      <c r="K728" s="128" t="s">
        <v>1842</v>
      </c>
      <c r="L728" s="128" t="s">
        <v>30</v>
      </c>
      <c r="M728" s="129" t="s">
        <v>34</v>
      </c>
      <c r="N728" s="129" t="s">
        <v>28</v>
      </c>
      <c r="O728" s="129" t="s">
        <v>28</v>
      </c>
      <c r="P728" s="129" t="str">
        <f t="shared" si="23"/>
        <v>N/A</v>
      </c>
      <c r="Q728" s="128" t="s">
        <v>1843</v>
      </c>
      <c r="R728" s="128">
        <v>14.77</v>
      </c>
      <c r="S728" s="128">
        <v>41.98</v>
      </c>
      <c r="T728" s="130" t="s">
        <v>1015</v>
      </c>
      <c r="U728" s="154" t="s">
        <v>1841</v>
      </c>
    </row>
    <row r="729" spans="1:21" ht="15.75" hidden="1" thickBot="1">
      <c r="A729" s="45">
        <v>1259</v>
      </c>
      <c r="B729" s="123"/>
      <c r="C729" s="123"/>
      <c r="D729" s="123"/>
      <c r="E729" s="123"/>
      <c r="F729" s="123"/>
      <c r="G729" s="127" t="s">
        <v>210</v>
      </c>
      <c r="H729" s="128">
        <v>2000</v>
      </c>
      <c r="I729" s="128" t="s">
        <v>1835</v>
      </c>
      <c r="J729" s="128">
        <f t="shared" si="22"/>
        <v>8</v>
      </c>
      <c r="K729" s="128" t="s">
        <v>1844</v>
      </c>
      <c r="L729" s="128" t="s">
        <v>40</v>
      </c>
      <c r="M729" s="129" t="s">
        <v>31</v>
      </c>
      <c r="N729" s="129" t="s">
        <v>28</v>
      </c>
      <c r="O729" s="129" t="s">
        <v>28</v>
      </c>
      <c r="P729" s="129" t="str">
        <f t="shared" si="23"/>
        <v>N/A</v>
      </c>
      <c r="Q729" s="128" t="s">
        <v>1845</v>
      </c>
      <c r="R729" s="128">
        <v>12.67</v>
      </c>
      <c r="S729" s="130"/>
      <c r="T729" s="130" t="s">
        <v>31</v>
      </c>
      <c r="U729" s="155" t="s">
        <v>1841</v>
      </c>
    </row>
    <row r="730" spans="1:21" ht="15.75" hidden="1" thickBot="1">
      <c r="A730" s="45">
        <v>1259</v>
      </c>
      <c r="B730" s="123"/>
      <c r="C730" s="123"/>
      <c r="D730" s="123"/>
      <c r="E730" s="123"/>
      <c r="F730" s="123"/>
      <c r="G730" s="127" t="s">
        <v>210</v>
      </c>
      <c r="H730" s="128">
        <v>2000</v>
      </c>
      <c r="I730" s="128" t="s">
        <v>1835</v>
      </c>
      <c r="J730" s="128">
        <f t="shared" si="22"/>
        <v>8</v>
      </c>
      <c r="K730" s="128" t="s">
        <v>922</v>
      </c>
      <c r="L730" s="128" t="s">
        <v>30</v>
      </c>
      <c r="M730" s="129" t="s">
        <v>31</v>
      </c>
      <c r="N730" s="129" t="s">
        <v>28</v>
      </c>
      <c r="O730" s="129" t="s">
        <v>28</v>
      </c>
      <c r="P730" s="129" t="str">
        <f t="shared" si="23"/>
        <v>N/A</v>
      </c>
      <c r="Q730" s="132" t="s">
        <v>1846</v>
      </c>
      <c r="R730" s="128">
        <v>10.74</v>
      </c>
      <c r="S730" s="130"/>
      <c r="T730" s="130" t="s">
        <v>31</v>
      </c>
      <c r="U730" s="154" t="s">
        <v>1841</v>
      </c>
    </row>
    <row r="731" spans="1:21" ht="15.75" hidden="1" thickBot="1">
      <c r="A731" s="45">
        <v>1259</v>
      </c>
      <c r="B731" s="123"/>
      <c r="C731" s="123"/>
      <c r="D731" s="123"/>
      <c r="E731" s="123"/>
      <c r="F731" s="123"/>
      <c r="G731" s="127" t="s">
        <v>210</v>
      </c>
      <c r="H731" s="128">
        <v>2000</v>
      </c>
      <c r="I731" s="128" t="s">
        <v>1835</v>
      </c>
      <c r="J731" s="128">
        <f t="shared" si="22"/>
        <v>8</v>
      </c>
      <c r="K731" s="128" t="s">
        <v>1847</v>
      </c>
      <c r="L731" s="128" t="s">
        <v>30</v>
      </c>
      <c r="M731" s="129" t="s">
        <v>1003</v>
      </c>
      <c r="N731" s="129" t="s">
        <v>28</v>
      </c>
      <c r="O731" s="129" t="s">
        <v>28</v>
      </c>
      <c r="P731" s="129" t="str">
        <f t="shared" si="23"/>
        <v>N/A</v>
      </c>
      <c r="Q731" s="128" t="s">
        <v>1004</v>
      </c>
      <c r="R731" s="128">
        <v>1.67</v>
      </c>
      <c r="S731" s="130"/>
      <c r="T731" s="130"/>
      <c r="U731" s="154" t="s">
        <v>1841</v>
      </c>
    </row>
    <row r="732" spans="1:21" ht="15.75" hidden="1" thickBot="1">
      <c r="A732" s="45">
        <v>1259</v>
      </c>
      <c r="B732" s="123"/>
      <c r="C732" s="123"/>
      <c r="D732" s="123"/>
      <c r="E732" s="123"/>
      <c r="F732" s="123"/>
      <c r="G732" s="127" t="s">
        <v>210</v>
      </c>
      <c r="H732" s="128">
        <v>2000</v>
      </c>
      <c r="I732" s="128" t="s">
        <v>1835</v>
      </c>
      <c r="J732" s="128">
        <f t="shared" si="22"/>
        <v>8</v>
      </c>
      <c r="K732" s="128" t="s">
        <v>1848</v>
      </c>
      <c r="L732" s="128" t="s">
        <v>40</v>
      </c>
      <c r="M732" s="129" t="s">
        <v>34</v>
      </c>
      <c r="N732" s="129" t="s">
        <v>28</v>
      </c>
      <c r="O732" s="129" t="s">
        <v>28</v>
      </c>
      <c r="P732" s="129" t="str">
        <f t="shared" si="23"/>
        <v>N/A</v>
      </c>
      <c r="Q732" s="128" t="s">
        <v>1849</v>
      </c>
      <c r="R732" s="128">
        <v>10.95</v>
      </c>
      <c r="S732" s="130"/>
      <c r="T732" s="130" t="s">
        <v>1015</v>
      </c>
      <c r="U732" s="154" t="s">
        <v>1841</v>
      </c>
    </row>
    <row r="733" spans="1:21" ht="15.75" hidden="1" thickBot="1">
      <c r="A733" s="45">
        <v>1260</v>
      </c>
      <c r="B733" s="123"/>
      <c r="C733" s="123"/>
      <c r="D733" s="123"/>
      <c r="E733" s="123"/>
      <c r="F733" s="123"/>
      <c r="G733" s="127" t="s">
        <v>210</v>
      </c>
      <c r="H733" s="128">
        <v>2000</v>
      </c>
      <c r="I733" s="128" t="s">
        <v>1850</v>
      </c>
      <c r="J733" s="128">
        <f t="shared" si="22"/>
        <v>7</v>
      </c>
      <c r="K733" s="128" t="s">
        <v>1851</v>
      </c>
      <c r="L733" s="128" t="s">
        <v>30</v>
      </c>
      <c r="M733" s="129" t="s">
        <v>34</v>
      </c>
      <c r="N733" s="129" t="s">
        <v>28</v>
      </c>
      <c r="O733" s="129" t="s">
        <v>28</v>
      </c>
      <c r="P733" s="129" t="str">
        <f t="shared" si="23"/>
        <v>N/A</v>
      </c>
      <c r="Q733" s="128" t="s">
        <v>1852</v>
      </c>
      <c r="R733" s="128">
        <v>3.37</v>
      </c>
      <c r="S733" s="130"/>
      <c r="T733" s="130" t="s">
        <v>1069</v>
      </c>
      <c r="U733" s="154"/>
    </row>
    <row r="734" spans="1:21" ht="15.75" hidden="1" thickBot="1">
      <c r="A734" s="45">
        <v>1260</v>
      </c>
      <c r="B734" s="123"/>
      <c r="C734" s="123"/>
      <c r="D734" s="123"/>
      <c r="E734" s="123"/>
      <c r="F734" s="123"/>
      <c r="G734" s="127" t="s">
        <v>210</v>
      </c>
      <c r="H734" s="128">
        <v>2000</v>
      </c>
      <c r="I734" s="128" t="s">
        <v>1850</v>
      </c>
      <c r="J734" s="128">
        <f t="shared" si="22"/>
        <v>7</v>
      </c>
      <c r="K734" s="128" t="s">
        <v>1853</v>
      </c>
      <c r="L734" s="128" t="s">
        <v>30</v>
      </c>
      <c r="M734" s="129" t="s">
        <v>1003</v>
      </c>
      <c r="N734" s="129" t="s">
        <v>28</v>
      </c>
      <c r="O734" s="129" t="s">
        <v>28</v>
      </c>
      <c r="P734" s="129" t="str">
        <f t="shared" si="23"/>
        <v>N/A</v>
      </c>
      <c r="Q734" s="128" t="s">
        <v>1004</v>
      </c>
      <c r="R734" s="128">
        <v>2.23</v>
      </c>
      <c r="S734" s="130"/>
      <c r="T734" s="130"/>
      <c r="U734" s="154"/>
    </row>
    <row r="735" spans="1:21" ht="15.75" hidden="1" thickBot="1">
      <c r="A735" s="45">
        <v>1260</v>
      </c>
      <c r="B735" s="123"/>
      <c r="C735" s="123"/>
      <c r="D735" s="123"/>
      <c r="E735" s="123"/>
      <c r="F735" s="123"/>
      <c r="G735" s="127" t="s">
        <v>210</v>
      </c>
      <c r="H735" s="128">
        <v>2000</v>
      </c>
      <c r="I735" s="128" t="s">
        <v>1850</v>
      </c>
      <c r="J735" s="128">
        <f t="shared" si="22"/>
        <v>7</v>
      </c>
      <c r="K735" s="128" t="s">
        <v>1854</v>
      </c>
      <c r="L735" s="128" t="s">
        <v>30</v>
      </c>
      <c r="M735" s="129" t="s">
        <v>31</v>
      </c>
      <c r="N735" s="129" t="s">
        <v>28</v>
      </c>
      <c r="O735" s="129" t="s">
        <v>28</v>
      </c>
      <c r="P735" s="129" t="str">
        <f t="shared" si="23"/>
        <v>N/A</v>
      </c>
      <c r="Q735" s="128" t="s">
        <v>1855</v>
      </c>
      <c r="R735" s="128">
        <v>16.829999999999998</v>
      </c>
      <c r="S735" s="128">
        <v>42.82</v>
      </c>
      <c r="T735" s="130" t="s">
        <v>31</v>
      </c>
      <c r="U735" s="154"/>
    </row>
    <row r="736" spans="1:21" ht="15.75" hidden="1" thickBot="1">
      <c r="A736" s="45">
        <v>1260</v>
      </c>
      <c r="B736" s="123"/>
      <c r="C736" s="123"/>
      <c r="D736" s="123"/>
      <c r="E736" s="123"/>
      <c r="F736" s="123"/>
      <c r="G736" s="127" t="s">
        <v>210</v>
      </c>
      <c r="H736" s="128">
        <v>2000</v>
      </c>
      <c r="I736" s="128" t="s">
        <v>1850</v>
      </c>
      <c r="J736" s="128">
        <f t="shared" si="22"/>
        <v>7</v>
      </c>
      <c r="K736" s="128" t="s">
        <v>274</v>
      </c>
      <c r="L736" s="128" t="s">
        <v>30</v>
      </c>
      <c r="M736" s="129" t="s">
        <v>34</v>
      </c>
      <c r="N736" s="129" t="s">
        <v>32</v>
      </c>
      <c r="O736" s="129" t="s">
        <v>32</v>
      </c>
      <c r="P736" s="129" t="str">
        <f t="shared" si="23"/>
        <v>Y</v>
      </c>
      <c r="Q736" s="130"/>
      <c r="R736" s="128">
        <v>43.53</v>
      </c>
      <c r="S736" s="128">
        <v>57.18</v>
      </c>
      <c r="T736" s="130"/>
      <c r="U736" s="154"/>
    </row>
    <row r="737" spans="1:21" ht="15.75" hidden="1" thickBot="1">
      <c r="A737" s="45">
        <v>1260</v>
      </c>
      <c r="B737" s="123"/>
      <c r="C737" s="123"/>
      <c r="D737" s="123"/>
      <c r="E737" s="123"/>
      <c r="F737" s="123"/>
      <c r="G737" s="127" t="s">
        <v>210</v>
      </c>
      <c r="H737" s="128">
        <v>2000</v>
      </c>
      <c r="I737" s="128" t="s">
        <v>1850</v>
      </c>
      <c r="J737" s="128">
        <f t="shared" si="22"/>
        <v>7</v>
      </c>
      <c r="K737" s="128" t="s">
        <v>1856</v>
      </c>
      <c r="L737" s="128" t="s">
        <v>30</v>
      </c>
      <c r="M737" s="129" t="s">
        <v>1013</v>
      </c>
      <c r="N737" s="129" t="s">
        <v>28</v>
      </c>
      <c r="O737" s="129" t="s">
        <v>28</v>
      </c>
      <c r="P737" s="129" t="str">
        <f t="shared" si="23"/>
        <v>N/A</v>
      </c>
      <c r="Q737" s="130"/>
      <c r="R737" s="128">
        <v>15.14</v>
      </c>
      <c r="S737" s="130"/>
      <c r="T737" s="130"/>
      <c r="U737" s="154"/>
    </row>
    <row r="738" spans="1:21" ht="26.25" hidden="1" thickBot="1">
      <c r="A738" s="45">
        <v>1260</v>
      </c>
      <c r="B738" s="123"/>
      <c r="C738" s="123"/>
      <c r="D738" s="123"/>
      <c r="E738" s="123"/>
      <c r="F738" s="123"/>
      <c r="G738" s="127" t="s">
        <v>210</v>
      </c>
      <c r="H738" s="128">
        <v>2000</v>
      </c>
      <c r="I738" s="128" t="s">
        <v>1850</v>
      </c>
      <c r="J738" s="128">
        <f t="shared" si="22"/>
        <v>7</v>
      </c>
      <c r="K738" s="128" t="s">
        <v>1693</v>
      </c>
      <c r="L738" s="128" t="s">
        <v>30</v>
      </c>
      <c r="M738" s="129" t="s">
        <v>34</v>
      </c>
      <c r="N738" s="129" t="s">
        <v>28</v>
      </c>
      <c r="O738" s="129" t="s">
        <v>28</v>
      </c>
      <c r="P738" s="129" t="str">
        <f t="shared" si="23"/>
        <v>N/A</v>
      </c>
      <c r="Q738" s="128" t="s">
        <v>1857</v>
      </c>
      <c r="R738" s="128">
        <v>15.94</v>
      </c>
      <c r="S738" s="130"/>
      <c r="T738" s="130" t="s">
        <v>1051</v>
      </c>
      <c r="U738" s="154"/>
    </row>
    <row r="739" spans="1:21" ht="15.75" hidden="1" thickBot="1">
      <c r="A739" s="45">
        <v>1260</v>
      </c>
      <c r="B739" s="123"/>
      <c r="C739" s="123"/>
      <c r="D739" s="123"/>
      <c r="E739" s="123"/>
      <c r="F739" s="123"/>
      <c r="G739" s="127" t="s">
        <v>210</v>
      </c>
      <c r="H739" s="128">
        <v>2000</v>
      </c>
      <c r="I739" s="128" t="s">
        <v>1850</v>
      </c>
      <c r="J739" s="128">
        <f t="shared" si="22"/>
        <v>7</v>
      </c>
      <c r="K739" s="128" t="s">
        <v>1858</v>
      </c>
      <c r="L739" s="128" t="s">
        <v>30</v>
      </c>
      <c r="M739" s="129" t="s">
        <v>34</v>
      </c>
      <c r="N739" s="129" t="s">
        <v>28</v>
      </c>
      <c r="O739" s="129" t="s">
        <v>28</v>
      </c>
      <c r="P739" s="129" t="str">
        <f t="shared" si="23"/>
        <v>N/A</v>
      </c>
      <c r="Q739" s="128" t="s">
        <v>1859</v>
      </c>
      <c r="R739" s="128">
        <v>2.69</v>
      </c>
      <c r="S739" s="130"/>
      <c r="T739" s="130" t="s">
        <v>998</v>
      </c>
      <c r="U739" s="154"/>
    </row>
    <row r="740" spans="1:21" ht="15.75" hidden="1" thickBot="1">
      <c r="A740" s="45">
        <v>1261</v>
      </c>
      <c r="B740" s="123"/>
      <c r="C740" s="123"/>
      <c r="D740" s="123"/>
      <c r="E740" s="123"/>
      <c r="F740" s="123"/>
      <c r="G740" s="127" t="s">
        <v>210</v>
      </c>
      <c r="H740" s="128">
        <v>2000</v>
      </c>
      <c r="I740" s="128" t="s">
        <v>1860</v>
      </c>
      <c r="J740" s="128">
        <f t="shared" si="22"/>
        <v>11</v>
      </c>
      <c r="K740" s="128" t="s">
        <v>1861</v>
      </c>
      <c r="L740" s="128" t="s">
        <v>30</v>
      </c>
      <c r="M740" s="129" t="s">
        <v>1003</v>
      </c>
      <c r="N740" s="129" t="s">
        <v>28</v>
      </c>
      <c r="O740" s="129" t="s">
        <v>28</v>
      </c>
      <c r="P740" s="129" t="str">
        <f t="shared" si="23"/>
        <v>N/A</v>
      </c>
      <c r="Q740" s="128" t="s">
        <v>1004</v>
      </c>
      <c r="R740" s="128">
        <v>12.02</v>
      </c>
      <c r="S740" s="130"/>
      <c r="T740" s="130"/>
      <c r="U740" s="154" t="s">
        <v>1862</v>
      </c>
    </row>
    <row r="741" spans="1:21" ht="15.75" hidden="1" thickBot="1">
      <c r="A741" s="45">
        <v>1261</v>
      </c>
      <c r="B741" s="123"/>
      <c r="C741" s="123"/>
      <c r="D741" s="123"/>
      <c r="E741" s="123"/>
      <c r="F741" s="123"/>
      <c r="G741" s="127" t="s">
        <v>210</v>
      </c>
      <c r="H741" s="128">
        <v>2000</v>
      </c>
      <c r="I741" s="128" t="s">
        <v>1860</v>
      </c>
      <c r="J741" s="128">
        <f t="shared" si="22"/>
        <v>11</v>
      </c>
      <c r="K741" s="128" t="s">
        <v>1863</v>
      </c>
      <c r="L741" s="128" t="s">
        <v>30</v>
      </c>
      <c r="M741" s="129" t="s">
        <v>31</v>
      </c>
      <c r="N741" s="129" t="s">
        <v>28</v>
      </c>
      <c r="O741" s="129" t="s">
        <v>28</v>
      </c>
      <c r="P741" s="129" t="str">
        <f t="shared" si="23"/>
        <v>N/A</v>
      </c>
      <c r="Q741" s="128" t="s">
        <v>1864</v>
      </c>
      <c r="R741" s="128">
        <v>1.08</v>
      </c>
      <c r="S741" s="130"/>
      <c r="T741" s="130" t="s">
        <v>31</v>
      </c>
      <c r="U741" s="154"/>
    </row>
    <row r="742" spans="1:21" ht="15.75" hidden="1" thickBot="1">
      <c r="A742" s="45">
        <v>1261</v>
      </c>
      <c r="B742" s="123"/>
      <c r="C742" s="123"/>
      <c r="D742" s="123"/>
      <c r="E742" s="123"/>
      <c r="F742" s="123"/>
      <c r="G742" s="127" t="s">
        <v>210</v>
      </c>
      <c r="H742" s="128">
        <v>2000</v>
      </c>
      <c r="I742" s="128" t="s">
        <v>1860</v>
      </c>
      <c r="J742" s="128">
        <f t="shared" si="22"/>
        <v>11</v>
      </c>
      <c r="K742" s="128" t="s">
        <v>1865</v>
      </c>
      <c r="L742" s="128" t="s">
        <v>30</v>
      </c>
      <c r="M742" s="129" t="s">
        <v>201</v>
      </c>
      <c r="N742" s="129" t="s">
        <v>28</v>
      </c>
      <c r="O742" s="129" t="s">
        <v>28</v>
      </c>
      <c r="P742" s="129" t="str">
        <f t="shared" si="23"/>
        <v>N/A</v>
      </c>
      <c r="Q742" s="128" t="s">
        <v>1866</v>
      </c>
      <c r="R742" s="128">
        <v>4.2300000000000004</v>
      </c>
      <c r="S742" s="130"/>
      <c r="T742" s="130" t="s">
        <v>998</v>
      </c>
      <c r="U742" s="154"/>
    </row>
    <row r="743" spans="1:21" ht="15.75" hidden="1" thickBot="1">
      <c r="A743" s="45">
        <v>1261</v>
      </c>
      <c r="B743" s="123"/>
      <c r="C743" s="123"/>
      <c r="D743" s="123"/>
      <c r="E743" s="123"/>
      <c r="F743" s="123"/>
      <c r="G743" s="127" t="s">
        <v>210</v>
      </c>
      <c r="H743" s="128">
        <v>2000</v>
      </c>
      <c r="I743" s="128" t="s">
        <v>1860</v>
      </c>
      <c r="J743" s="128">
        <f t="shared" si="22"/>
        <v>11</v>
      </c>
      <c r="K743" s="128" t="s">
        <v>1867</v>
      </c>
      <c r="L743" s="128" t="s">
        <v>30</v>
      </c>
      <c r="M743" s="129" t="s">
        <v>1003</v>
      </c>
      <c r="N743" s="129" t="s">
        <v>28</v>
      </c>
      <c r="O743" s="129" t="s">
        <v>28</v>
      </c>
      <c r="P743" s="129" t="str">
        <f t="shared" si="23"/>
        <v>N/A</v>
      </c>
      <c r="Q743" s="138" t="s">
        <v>1868</v>
      </c>
      <c r="R743" s="128">
        <v>2.4700000000000002</v>
      </c>
      <c r="S743" s="130"/>
      <c r="T743" s="130"/>
      <c r="U743" s="154"/>
    </row>
    <row r="744" spans="1:21" ht="15.75" hidden="1" thickBot="1">
      <c r="A744" s="45">
        <v>1261</v>
      </c>
      <c r="B744" s="123"/>
      <c r="C744" s="123"/>
      <c r="D744" s="123"/>
      <c r="E744" s="123"/>
      <c r="F744" s="123"/>
      <c r="G744" s="127" t="s">
        <v>210</v>
      </c>
      <c r="H744" s="128">
        <v>2000</v>
      </c>
      <c r="I744" s="128" t="s">
        <v>1860</v>
      </c>
      <c r="J744" s="128">
        <f t="shared" si="22"/>
        <v>11</v>
      </c>
      <c r="K744" s="128" t="s">
        <v>1767</v>
      </c>
      <c r="L744" s="128" t="s">
        <v>30</v>
      </c>
      <c r="M744" s="129" t="s">
        <v>31</v>
      </c>
      <c r="N744" s="129" t="s">
        <v>28</v>
      </c>
      <c r="O744" s="129" t="s">
        <v>28</v>
      </c>
      <c r="P744" s="129" t="str">
        <f t="shared" si="23"/>
        <v>N/A</v>
      </c>
      <c r="Q744" s="128" t="s">
        <v>1869</v>
      </c>
      <c r="R744" s="128">
        <v>2.62</v>
      </c>
      <c r="S744" s="130"/>
      <c r="T744" s="130" t="s">
        <v>31</v>
      </c>
      <c r="U744" s="154"/>
    </row>
    <row r="745" spans="1:21" ht="15.75" hidden="1" thickBot="1">
      <c r="A745" s="45">
        <v>1261</v>
      </c>
      <c r="B745" s="123"/>
      <c r="C745" s="123"/>
      <c r="D745" s="123"/>
      <c r="E745" s="123"/>
      <c r="F745" s="123"/>
      <c r="G745" s="127" t="s">
        <v>210</v>
      </c>
      <c r="H745" s="128">
        <v>2000</v>
      </c>
      <c r="I745" s="128" t="s">
        <v>1860</v>
      </c>
      <c r="J745" s="128">
        <f t="shared" si="22"/>
        <v>11</v>
      </c>
      <c r="K745" s="128" t="s">
        <v>1870</v>
      </c>
      <c r="L745" s="128" t="s">
        <v>30</v>
      </c>
      <c r="M745" s="129" t="s">
        <v>31</v>
      </c>
      <c r="N745" s="129" t="s">
        <v>28</v>
      </c>
      <c r="O745" s="129" t="s">
        <v>28</v>
      </c>
      <c r="P745" s="129" t="str">
        <f t="shared" si="23"/>
        <v>N/A</v>
      </c>
      <c r="Q745" s="128" t="s">
        <v>1004</v>
      </c>
      <c r="R745" s="128">
        <v>0.54</v>
      </c>
      <c r="S745" s="130"/>
      <c r="T745" s="130"/>
      <c r="U745" s="154"/>
    </row>
    <row r="746" spans="1:21" ht="15.75" hidden="1" thickBot="1">
      <c r="A746" s="45">
        <v>1261</v>
      </c>
      <c r="B746" s="123"/>
      <c r="C746" s="123"/>
      <c r="D746" s="123"/>
      <c r="E746" s="123"/>
      <c r="F746" s="123"/>
      <c r="G746" s="127" t="s">
        <v>210</v>
      </c>
      <c r="H746" s="128">
        <v>2000</v>
      </c>
      <c r="I746" s="128" t="s">
        <v>1860</v>
      </c>
      <c r="J746" s="128">
        <f t="shared" si="22"/>
        <v>11</v>
      </c>
      <c r="K746" s="128" t="s">
        <v>1871</v>
      </c>
      <c r="L746" s="128" t="s">
        <v>40</v>
      </c>
      <c r="M746" s="129" t="s">
        <v>1003</v>
      </c>
      <c r="N746" s="129" t="s">
        <v>32</v>
      </c>
      <c r="O746" s="129" t="s">
        <v>28</v>
      </c>
      <c r="P746" s="129" t="str">
        <f t="shared" si="23"/>
        <v>N/A</v>
      </c>
      <c r="Q746" s="128" t="s">
        <v>1872</v>
      </c>
      <c r="R746" s="128">
        <v>28.51</v>
      </c>
      <c r="S746" s="128">
        <v>34.64</v>
      </c>
      <c r="T746" s="130"/>
      <c r="U746" s="154"/>
    </row>
    <row r="747" spans="1:21" ht="15.75" hidden="1" thickBot="1">
      <c r="A747" s="45">
        <v>1261</v>
      </c>
      <c r="B747" s="123"/>
      <c r="C747" s="123"/>
      <c r="D747" s="123"/>
      <c r="E747" s="123"/>
      <c r="F747" s="123"/>
      <c r="G747" s="127" t="s">
        <v>210</v>
      </c>
      <c r="H747" s="128">
        <v>2000</v>
      </c>
      <c r="I747" s="128" t="s">
        <v>1860</v>
      </c>
      <c r="J747" s="128">
        <f t="shared" si="22"/>
        <v>11</v>
      </c>
      <c r="K747" s="128" t="s">
        <v>1798</v>
      </c>
      <c r="L747" s="128" t="s">
        <v>30</v>
      </c>
      <c r="M747" s="129" t="s">
        <v>1065</v>
      </c>
      <c r="N747" s="129" t="s">
        <v>28</v>
      </c>
      <c r="O747" s="129" t="s">
        <v>28</v>
      </c>
      <c r="P747" s="129" t="str">
        <f t="shared" si="23"/>
        <v>N/A</v>
      </c>
      <c r="Q747" s="130"/>
      <c r="R747" s="128">
        <v>42.3</v>
      </c>
      <c r="S747" s="156">
        <v>0.65359999999999996</v>
      </c>
      <c r="T747" s="130"/>
      <c r="U747" s="154"/>
    </row>
    <row r="748" spans="1:21" ht="15.75" hidden="1" thickBot="1">
      <c r="A748" s="45">
        <v>1261</v>
      </c>
      <c r="B748" s="123"/>
      <c r="C748" s="123"/>
      <c r="D748" s="123"/>
      <c r="E748" s="123"/>
      <c r="F748" s="123"/>
      <c r="G748" s="127" t="s">
        <v>210</v>
      </c>
      <c r="H748" s="128">
        <v>2000</v>
      </c>
      <c r="I748" s="128" t="s">
        <v>1860</v>
      </c>
      <c r="J748" s="128">
        <f t="shared" si="22"/>
        <v>11</v>
      </c>
      <c r="K748" s="128" t="s">
        <v>1873</v>
      </c>
      <c r="L748" s="128" t="s">
        <v>30</v>
      </c>
      <c r="M748" s="129" t="s">
        <v>31</v>
      </c>
      <c r="N748" s="129" t="s">
        <v>28</v>
      </c>
      <c r="O748" s="129" t="s">
        <v>28</v>
      </c>
      <c r="P748" s="129" t="str">
        <f t="shared" si="23"/>
        <v>N/A</v>
      </c>
      <c r="Q748" s="128" t="s">
        <v>1874</v>
      </c>
      <c r="R748" s="128">
        <v>1.67</v>
      </c>
      <c r="S748" s="130"/>
      <c r="T748" s="130" t="s">
        <v>31</v>
      </c>
      <c r="U748" s="154"/>
    </row>
    <row r="749" spans="1:21" ht="15.75" hidden="1" thickBot="1">
      <c r="A749" s="45">
        <v>1261</v>
      </c>
      <c r="B749" s="123"/>
      <c r="C749" s="123"/>
      <c r="D749" s="123"/>
      <c r="E749" s="123"/>
      <c r="F749" s="123"/>
      <c r="G749" s="127" t="s">
        <v>210</v>
      </c>
      <c r="H749" s="128">
        <v>2000</v>
      </c>
      <c r="I749" s="128" t="s">
        <v>1860</v>
      </c>
      <c r="J749" s="128">
        <f t="shared" si="22"/>
        <v>11</v>
      </c>
      <c r="K749" s="128" t="s">
        <v>1875</v>
      </c>
      <c r="L749" s="128" t="s">
        <v>30</v>
      </c>
      <c r="M749" s="129" t="s">
        <v>31</v>
      </c>
      <c r="N749" s="129" t="s">
        <v>28</v>
      </c>
      <c r="O749" s="129" t="s">
        <v>28</v>
      </c>
      <c r="P749" s="129" t="str">
        <f t="shared" si="23"/>
        <v>N/A</v>
      </c>
      <c r="Q749" s="128" t="s">
        <v>1876</v>
      </c>
      <c r="R749" s="128">
        <v>4.0199999999999996</v>
      </c>
      <c r="S749" s="130"/>
      <c r="T749" s="130" t="s">
        <v>31</v>
      </c>
      <c r="U749" s="154"/>
    </row>
    <row r="750" spans="1:21" ht="15.75" hidden="1" thickBot="1">
      <c r="A750" s="45">
        <v>1261</v>
      </c>
      <c r="B750" s="123"/>
      <c r="C750" s="123"/>
      <c r="D750" s="123"/>
      <c r="E750" s="123"/>
      <c r="F750" s="123"/>
      <c r="G750" s="127" t="s">
        <v>210</v>
      </c>
      <c r="H750" s="128">
        <v>2000</v>
      </c>
      <c r="I750" s="128" t="s">
        <v>1860</v>
      </c>
      <c r="J750" s="128">
        <f t="shared" si="22"/>
        <v>11</v>
      </c>
      <c r="K750" s="128" t="s">
        <v>1877</v>
      </c>
      <c r="L750" s="128" t="s">
        <v>30</v>
      </c>
      <c r="M750" s="129" t="s">
        <v>31</v>
      </c>
      <c r="N750" s="129" t="s">
        <v>28</v>
      </c>
      <c r="O750" s="129" t="s">
        <v>28</v>
      </c>
      <c r="P750" s="129" t="str">
        <f t="shared" si="23"/>
        <v>N/A</v>
      </c>
      <c r="Q750" s="130"/>
      <c r="R750" s="128">
        <v>0.35</v>
      </c>
      <c r="S750" s="130"/>
      <c r="T750" s="130"/>
      <c r="U750" s="154"/>
    </row>
    <row r="751" spans="1:21" ht="15.75" hidden="1" thickBot="1">
      <c r="A751" s="45">
        <v>1262</v>
      </c>
      <c r="B751" s="123"/>
      <c r="C751" s="123"/>
      <c r="D751" s="123"/>
      <c r="E751" s="123"/>
      <c r="F751" s="123"/>
      <c r="G751" s="127" t="s">
        <v>210</v>
      </c>
      <c r="H751" s="128">
        <v>2000</v>
      </c>
      <c r="I751" s="128" t="s">
        <v>1878</v>
      </c>
      <c r="J751" s="128">
        <f t="shared" si="22"/>
        <v>14</v>
      </c>
      <c r="K751" s="128" t="s">
        <v>1879</v>
      </c>
      <c r="L751" s="128" t="s">
        <v>40</v>
      </c>
      <c r="M751" s="129" t="s">
        <v>31</v>
      </c>
      <c r="N751" s="129" t="s">
        <v>28</v>
      </c>
      <c r="O751" s="129" t="s">
        <v>28</v>
      </c>
      <c r="P751" s="129" t="str">
        <f t="shared" si="23"/>
        <v>N/A</v>
      </c>
      <c r="Q751" s="128" t="s">
        <v>1880</v>
      </c>
      <c r="R751" s="128">
        <v>12.27</v>
      </c>
      <c r="S751" s="130"/>
      <c r="T751" s="130" t="s">
        <v>31</v>
      </c>
      <c r="U751" s="154" t="s">
        <v>1881</v>
      </c>
    </row>
    <row r="752" spans="1:21" ht="15.75" hidden="1" thickBot="1">
      <c r="A752" s="45">
        <v>1262</v>
      </c>
      <c r="B752" s="123"/>
      <c r="C752" s="123"/>
      <c r="D752" s="123"/>
      <c r="E752" s="123"/>
      <c r="F752" s="123"/>
      <c r="G752" s="127" t="s">
        <v>210</v>
      </c>
      <c r="H752" s="128">
        <v>2000</v>
      </c>
      <c r="I752" s="128" t="s">
        <v>1878</v>
      </c>
      <c r="J752" s="128">
        <f t="shared" si="22"/>
        <v>14</v>
      </c>
      <c r="K752" s="128" t="s">
        <v>1882</v>
      </c>
      <c r="L752" s="128" t="s">
        <v>30</v>
      </c>
      <c r="M752" s="129" t="s">
        <v>1003</v>
      </c>
      <c r="N752" s="129" t="s">
        <v>28</v>
      </c>
      <c r="O752" s="129" t="s">
        <v>28</v>
      </c>
      <c r="P752" s="129" t="str">
        <f t="shared" si="23"/>
        <v>N/A</v>
      </c>
      <c r="Q752" s="128" t="s">
        <v>1004</v>
      </c>
      <c r="R752" s="128">
        <v>1.18</v>
      </c>
      <c r="S752" s="130"/>
      <c r="T752" s="130"/>
      <c r="U752" s="154"/>
    </row>
    <row r="753" spans="1:21" ht="15.75" hidden="1" thickBot="1">
      <c r="A753" s="45">
        <v>1262</v>
      </c>
      <c r="B753" s="123"/>
      <c r="C753" s="123"/>
      <c r="D753" s="123"/>
      <c r="E753" s="123"/>
      <c r="F753" s="123"/>
      <c r="G753" s="127" t="s">
        <v>210</v>
      </c>
      <c r="H753" s="128">
        <v>2000</v>
      </c>
      <c r="I753" s="128" t="s">
        <v>1878</v>
      </c>
      <c r="J753" s="128">
        <f t="shared" si="22"/>
        <v>14</v>
      </c>
      <c r="K753" s="128" t="s">
        <v>1883</v>
      </c>
      <c r="L753" s="128" t="s">
        <v>40</v>
      </c>
      <c r="M753" s="129" t="s">
        <v>31</v>
      </c>
      <c r="N753" s="129" t="s">
        <v>28</v>
      </c>
      <c r="O753" s="129" t="s">
        <v>28</v>
      </c>
      <c r="P753" s="129" t="str">
        <f t="shared" si="23"/>
        <v>N/A</v>
      </c>
      <c r="Q753" s="128" t="s">
        <v>1884</v>
      </c>
      <c r="R753" s="128">
        <v>14.95</v>
      </c>
      <c r="S753" s="130"/>
      <c r="T753" s="130"/>
      <c r="U753" s="154" t="s">
        <v>1881</v>
      </c>
    </row>
    <row r="754" spans="1:21" ht="15.75" hidden="1" thickBot="1">
      <c r="A754" s="45">
        <v>1262</v>
      </c>
      <c r="B754" s="123"/>
      <c r="C754" s="123"/>
      <c r="D754" s="123"/>
      <c r="E754" s="123"/>
      <c r="F754" s="123"/>
      <c r="G754" s="127" t="s">
        <v>210</v>
      </c>
      <c r="H754" s="128">
        <v>2000</v>
      </c>
      <c r="I754" s="128" t="s">
        <v>1878</v>
      </c>
      <c r="J754" s="128">
        <f t="shared" si="22"/>
        <v>14</v>
      </c>
      <c r="K754" s="128" t="s">
        <v>256</v>
      </c>
      <c r="L754" s="128" t="s">
        <v>30</v>
      </c>
      <c r="M754" s="129" t="s">
        <v>31</v>
      </c>
      <c r="N754" s="129" t="s">
        <v>32</v>
      </c>
      <c r="O754" s="129" t="s">
        <v>28</v>
      </c>
      <c r="P754" s="129" t="str">
        <f t="shared" si="23"/>
        <v>N/A</v>
      </c>
      <c r="Q754" s="130"/>
      <c r="R754" s="128">
        <v>33.78</v>
      </c>
      <c r="S754" s="128">
        <v>80.92</v>
      </c>
      <c r="T754" s="130"/>
      <c r="U754" s="154"/>
    </row>
    <row r="755" spans="1:21" ht="15.75" hidden="1" thickBot="1">
      <c r="A755" s="45">
        <v>1262</v>
      </c>
      <c r="B755" s="123"/>
      <c r="C755" s="123"/>
      <c r="D755" s="123"/>
      <c r="E755" s="123"/>
      <c r="F755" s="123"/>
      <c r="G755" s="127" t="s">
        <v>210</v>
      </c>
      <c r="H755" s="128">
        <v>2000</v>
      </c>
      <c r="I755" s="128" t="s">
        <v>1878</v>
      </c>
      <c r="J755" s="128">
        <f t="shared" si="22"/>
        <v>14</v>
      </c>
      <c r="K755" s="128" t="s">
        <v>1885</v>
      </c>
      <c r="L755" s="128" t="s">
        <v>30</v>
      </c>
      <c r="M755" s="129" t="s">
        <v>31</v>
      </c>
      <c r="N755" s="129" t="s">
        <v>28</v>
      </c>
      <c r="O755" s="129" t="s">
        <v>28</v>
      </c>
      <c r="P755" s="129" t="str">
        <f t="shared" si="23"/>
        <v>N/A</v>
      </c>
      <c r="Q755" s="128" t="s">
        <v>1886</v>
      </c>
      <c r="R755" s="128">
        <v>16.440000000000001</v>
      </c>
      <c r="S755" s="128">
        <v>19.079999999999998</v>
      </c>
      <c r="T755" s="130" t="s">
        <v>31</v>
      </c>
      <c r="U755" s="154" t="s">
        <v>1881</v>
      </c>
    </row>
    <row r="756" spans="1:21" ht="15.75" hidden="1" thickBot="1">
      <c r="A756" s="45">
        <v>1262</v>
      </c>
      <c r="B756" s="123"/>
      <c r="C756" s="123"/>
      <c r="D756" s="123"/>
      <c r="E756" s="123"/>
      <c r="F756" s="123"/>
      <c r="G756" s="127" t="s">
        <v>210</v>
      </c>
      <c r="H756" s="128">
        <v>2000</v>
      </c>
      <c r="I756" s="128" t="s">
        <v>1878</v>
      </c>
      <c r="J756" s="128">
        <f t="shared" si="22"/>
        <v>14</v>
      </c>
      <c r="K756" s="128" t="s">
        <v>1788</v>
      </c>
      <c r="L756" s="128" t="s">
        <v>40</v>
      </c>
      <c r="M756" s="129" t="s">
        <v>31</v>
      </c>
      <c r="N756" s="129" t="s">
        <v>28</v>
      </c>
      <c r="O756" s="129" t="s">
        <v>28</v>
      </c>
      <c r="P756" s="129" t="str">
        <f t="shared" si="23"/>
        <v>N/A</v>
      </c>
      <c r="Q756" s="128" t="s">
        <v>1887</v>
      </c>
      <c r="R756" s="128">
        <v>3.31</v>
      </c>
      <c r="S756" s="130"/>
      <c r="T756" s="130" t="s">
        <v>31</v>
      </c>
      <c r="U756" s="154"/>
    </row>
    <row r="757" spans="1:21" ht="15.75" hidden="1" thickBot="1">
      <c r="A757" s="45">
        <v>1262</v>
      </c>
      <c r="B757" s="123"/>
      <c r="C757" s="123"/>
      <c r="D757" s="123"/>
      <c r="E757" s="123"/>
      <c r="F757" s="123"/>
      <c r="G757" s="127" t="s">
        <v>210</v>
      </c>
      <c r="H757" s="128">
        <v>2000</v>
      </c>
      <c r="I757" s="128" t="s">
        <v>1878</v>
      </c>
      <c r="J757" s="128">
        <f t="shared" si="22"/>
        <v>14</v>
      </c>
      <c r="K757" s="128" t="s">
        <v>1888</v>
      </c>
      <c r="L757" s="128" t="s">
        <v>30</v>
      </c>
      <c r="M757" s="129" t="s">
        <v>31</v>
      </c>
      <c r="N757" s="129" t="s">
        <v>28</v>
      </c>
      <c r="O757" s="129" t="s">
        <v>28</v>
      </c>
      <c r="P757" s="129" t="str">
        <f t="shared" si="23"/>
        <v>N/A</v>
      </c>
      <c r="Q757" s="128" t="s">
        <v>1889</v>
      </c>
      <c r="R757" s="128">
        <v>0.28999999999999998</v>
      </c>
      <c r="S757" s="130"/>
      <c r="T757" s="130" t="s">
        <v>31</v>
      </c>
      <c r="U757" s="154"/>
    </row>
    <row r="758" spans="1:21" ht="15.75" hidden="1" thickBot="1">
      <c r="A758" s="45">
        <v>1262</v>
      </c>
      <c r="B758" s="123"/>
      <c r="C758" s="123"/>
      <c r="D758" s="123"/>
      <c r="E758" s="123"/>
      <c r="F758" s="123"/>
      <c r="G758" s="127" t="s">
        <v>210</v>
      </c>
      <c r="H758" s="128">
        <v>2000</v>
      </c>
      <c r="I758" s="128" t="s">
        <v>1878</v>
      </c>
      <c r="J758" s="128">
        <f t="shared" si="22"/>
        <v>14</v>
      </c>
      <c r="K758" s="128" t="s">
        <v>1890</v>
      </c>
      <c r="L758" s="128" t="s">
        <v>30</v>
      </c>
      <c r="M758" s="129" t="s">
        <v>31</v>
      </c>
      <c r="N758" s="129" t="s">
        <v>28</v>
      </c>
      <c r="O758" s="129" t="s">
        <v>28</v>
      </c>
      <c r="P758" s="129" t="str">
        <f t="shared" si="23"/>
        <v>N/A</v>
      </c>
      <c r="Q758" s="128" t="s">
        <v>1891</v>
      </c>
      <c r="R758" s="128">
        <v>1.05</v>
      </c>
      <c r="S758" s="130"/>
      <c r="T758" s="130"/>
      <c r="U758" s="154"/>
    </row>
    <row r="759" spans="1:21" ht="15.75" hidden="1" thickBot="1">
      <c r="A759" s="45">
        <v>1262</v>
      </c>
      <c r="B759" s="123"/>
      <c r="C759" s="123"/>
      <c r="D759" s="123"/>
      <c r="E759" s="123"/>
      <c r="F759" s="123"/>
      <c r="G759" s="127" t="s">
        <v>210</v>
      </c>
      <c r="H759" s="128">
        <v>2000</v>
      </c>
      <c r="I759" s="128" t="s">
        <v>1878</v>
      </c>
      <c r="J759" s="128">
        <f t="shared" si="22"/>
        <v>14</v>
      </c>
      <c r="K759" s="128" t="s">
        <v>1892</v>
      </c>
      <c r="L759" s="128" t="s">
        <v>30</v>
      </c>
      <c r="M759" s="129" t="s">
        <v>31</v>
      </c>
      <c r="N759" s="129" t="s">
        <v>28</v>
      </c>
      <c r="O759" s="129" t="s">
        <v>28</v>
      </c>
      <c r="P759" s="129" t="str">
        <f t="shared" si="23"/>
        <v>N/A</v>
      </c>
      <c r="Q759" s="128" t="s">
        <v>1893</v>
      </c>
      <c r="R759" s="128">
        <v>2.85</v>
      </c>
      <c r="S759" s="130"/>
      <c r="T759" s="130" t="s">
        <v>31</v>
      </c>
      <c r="U759" s="154"/>
    </row>
    <row r="760" spans="1:21" ht="15.75" hidden="1" thickBot="1">
      <c r="A760" s="45">
        <v>1262</v>
      </c>
      <c r="B760" s="123"/>
      <c r="C760" s="123"/>
      <c r="D760" s="123"/>
      <c r="E760" s="123"/>
      <c r="F760" s="123"/>
      <c r="G760" s="127" t="s">
        <v>210</v>
      </c>
      <c r="H760" s="128">
        <v>2000</v>
      </c>
      <c r="I760" s="128" t="s">
        <v>1878</v>
      </c>
      <c r="J760" s="128">
        <f t="shared" si="22"/>
        <v>14</v>
      </c>
      <c r="K760" s="128" t="s">
        <v>1894</v>
      </c>
      <c r="L760" s="128" t="s">
        <v>30</v>
      </c>
      <c r="M760" s="129" t="s">
        <v>31</v>
      </c>
      <c r="N760" s="129" t="s">
        <v>28</v>
      </c>
      <c r="O760" s="129" t="s">
        <v>28</v>
      </c>
      <c r="P760" s="129" t="str">
        <f t="shared" si="23"/>
        <v>N/A</v>
      </c>
      <c r="Q760" s="132" t="s">
        <v>1895</v>
      </c>
      <c r="R760" s="128">
        <v>1.1100000000000001</v>
      </c>
      <c r="S760" s="130"/>
      <c r="T760" s="130" t="s">
        <v>31</v>
      </c>
      <c r="U760" s="154"/>
    </row>
    <row r="761" spans="1:21" ht="15.75" hidden="1" thickBot="1">
      <c r="A761" s="45">
        <v>1262</v>
      </c>
      <c r="B761" s="123"/>
      <c r="C761" s="123"/>
      <c r="D761" s="123"/>
      <c r="E761" s="123"/>
      <c r="F761" s="123"/>
      <c r="G761" s="127" t="s">
        <v>210</v>
      </c>
      <c r="H761" s="128">
        <v>2000</v>
      </c>
      <c r="I761" s="128" t="s">
        <v>1878</v>
      </c>
      <c r="J761" s="128">
        <f t="shared" si="22"/>
        <v>14</v>
      </c>
      <c r="K761" s="128" t="s">
        <v>1793</v>
      </c>
      <c r="L761" s="128" t="s">
        <v>30</v>
      </c>
      <c r="M761" s="129" t="s">
        <v>31</v>
      </c>
      <c r="N761" s="129" t="s">
        <v>28</v>
      </c>
      <c r="O761" s="129" t="s">
        <v>28</v>
      </c>
      <c r="P761" s="129" t="str">
        <f t="shared" si="23"/>
        <v>N/A</v>
      </c>
      <c r="Q761" s="132" t="s">
        <v>1896</v>
      </c>
      <c r="R761" s="128">
        <v>2.2799999999999998</v>
      </c>
      <c r="S761" s="130"/>
      <c r="T761" s="130" t="s">
        <v>31</v>
      </c>
      <c r="U761" s="154"/>
    </row>
    <row r="762" spans="1:21" ht="15.75" hidden="1" thickBot="1">
      <c r="A762" s="45">
        <v>1262</v>
      </c>
      <c r="B762" s="123"/>
      <c r="C762" s="123"/>
      <c r="D762" s="123"/>
      <c r="E762" s="123"/>
      <c r="F762" s="123"/>
      <c r="G762" s="127" t="s">
        <v>210</v>
      </c>
      <c r="H762" s="128">
        <v>2000</v>
      </c>
      <c r="I762" s="128" t="s">
        <v>1878</v>
      </c>
      <c r="J762" s="128">
        <f t="shared" si="22"/>
        <v>14</v>
      </c>
      <c r="K762" s="128" t="s">
        <v>1897</v>
      </c>
      <c r="L762" s="128" t="s">
        <v>40</v>
      </c>
      <c r="M762" s="129" t="s">
        <v>31</v>
      </c>
      <c r="N762" s="129" t="s">
        <v>28</v>
      </c>
      <c r="O762" s="129" t="s">
        <v>28</v>
      </c>
      <c r="P762" s="129" t="str">
        <f t="shared" si="23"/>
        <v>N/A</v>
      </c>
      <c r="Q762" s="128" t="s">
        <v>1898</v>
      </c>
      <c r="R762" s="128">
        <v>2.65</v>
      </c>
      <c r="S762" s="130"/>
      <c r="T762" s="130" t="s">
        <v>31</v>
      </c>
      <c r="U762" s="154"/>
    </row>
    <row r="763" spans="1:21" ht="15.75" hidden="1" thickBot="1">
      <c r="A763" s="45">
        <v>1262</v>
      </c>
      <c r="B763" s="123"/>
      <c r="C763" s="123"/>
      <c r="D763" s="123"/>
      <c r="E763" s="123"/>
      <c r="F763" s="123"/>
      <c r="G763" s="127" t="s">
        <v>210</v>
      </c>
      <c r="H763" s="128">
        <v>2000</v>
      </c>
      <c r="I763" s="128" t="s">
        <v>1878</v>
      </c>
      <c r="J763" s="128">
        <f t="shared" si="22"/>
        <v>14</v>
      </c>
      <c r="K763" s="128" t="s">
        <v>1899</v>
      </c>
      <c r="L763" s="128" t="s">
        <v>30</v>
      </c>
      <c r="M763" s="129" t="s">
        <v>201</v>
      </c>
      <c r="N763" s="129" t="s">
        <v>28</v>
      </c>
      <c r="O763" s="129" t="s">
        <v>28</v>
      </c>
      <c r="P763" s="129" t="str">
        <f t="shared" si="23"/>
        <v>N/A</v>
      </c>
      <c r="Q763" s="130"/>
      <c r="R763" s="128">
        <v>2.71</v>
      </c>
      <c r="S763" s="130"/>
      <c r="T763" s="130"/>
      <c r="U763" s="154"/>
    </row>
    <row r="764" spans="1:21" ht="15.75" hidden="1" thickBot="1">
      <c r="A764" s="45">
        <v>1262</v>
      </c>
      <c r="B764" s="123"/>
      <c r="C764" s="123"/>
      <c r="D764" s="123"/>
      <c r="E764" s="123"/>
      <c r="F764" s="123"/>
      <c r="G764" s="127" t="s">
        <v>210</v>
      </c>
      <c r="H764" s="128">
        <v>2000</v>
      </c>
      <c r="I764" s="128" t="s">
        <v>1878</v>
      </c>
      <c r="J764" s="128">
        <f t="shared" si="22"/>
        <v>14</v>
      </c>
      <c r="K764" s="128" t="s">
        <v>1900</v>
      </c>
      <c r="L764" s="128" t="s">
        <v>30</v>
      </c>
      <c r="M764" s="129" t="s">
        <v>31</v>
      </c>
      <c r="N764" s="129" t="s">
        <v>28</v>
      </c>
      <c r="O764" s="129" t="s">
        <v>28</v>
      </c>
      <c r="P764" s="129" t="str">
        <f t="shared" si="23"/>
        <v>N/A</v>
      </c>
      <c r="Q764" s="128" t="s">
        <v>1901</v>
      </c>
      <c r="R764" s="128">
        <v>2.8</v>
      </c>
      <c r="S764" s="130"/>
      <c r="T764" s="130" t="s">
        <v>31</v>
      </c>
      <c r="U764" s="154"/>
    </row>
    <row r="765" spans="1:21" ht="15.75" hidden="1" thickBot="1">
      <c r="A765" s="45">
        <v>1263</v>
      </c>
      <c r="B765" s="123"/>
      <c r="C765" s="123"/>
      <c r="D765" s="123"/>
      <c r="E765" s="123"/>
      <c r="F765" s="123"/>
      <c r="G765" s="127" t="s">
        <v>210</v>
      </c>
      <c r="H765" s="128">
        <v>2000</v>
      </c>
      <c r="I765" s="128" t="s">
        <v>1902</v>
      </c>
      <c r="J765" s="128">
        <f t="shared" si="22"/>
        <v>6</v>
      </c>
      <c r="K765" s="128" t="s">
        <v>1903</v>
      </c>
      <c r="L765" s="128" t="s">
        <v>30</v>
      </c>
      <c r="M765" s="129" t="s">
        <v>31</v>
      </c>
      <c r="N765" s="129" t="s">
        <v>28</v>
      </c>
      <c r="O765" s="129" t="s">
        <v>28</v>
      </c>
      <c r="P765" s="129" t="str">
        <f t="shared" si="23"/>
        <v>N/A</v>
      </c>
      <c r="Q765" s="128" t="s">
        <v>1904</v>
      </c>
      <c r="R765" s="128">
        <v>10.82</v>
      </c>
      <c r="S765" s="130"/>
      <c r="T765" s="130" t="s">
        <v>31</v>
      </c>
      <c r="U765" s="154" t="s">
        <v>1905</v>
      </c>
    </row>
    <row r="766" spans="1:21" ht="15.75" hidden="1" thickBot="1">
      <c r="A766" s="45">
        <v>1263</v>
      </c>
      <c r="B766" s="123"/>
      <c r="C766" s="123"/>
      <c r="D766" s="123"/>
      <c r="E766" s="123"/>
      <c r="F766" s="123"/>
      <c r="G766" s="127" t="s">
        <v>210</v>
      </c>
      <c r="H766" s="128">
        <v>2000</v>
      </c>
      <c r="I766" s="128" t="s">
        <v>1902</v>
      </c>
      <c r="J766" s="128">
        <f t="shared" si="22"/>
        <v>6</v>
      </c>
      <c r="K766" s="128" t="s">
        <v>1766</v>
      </c>
      <c r="L766" s="128" t="s">
        <v>30</v>
      </c>
      <c r="M766" s="129" t="s">
        <v>1003</v>
      </c>
      <c r="N766" s="129" t="s">
        <v>28</v>
      </c>
      <c r="O766" s="129" t="s">
        <v>28</v>
      </c>
      <c r="P766" s="129" t="str">
        <f t="shared" si="23"/>
        <v>N/A</v>
      </c>
      <c r="Q766" s="128" t="s">
        <v>1004</v>
      </c>
      <c r="R766" s="128">
        <v>9.25</v>
      </c>
      <c r="S766" s="130"/>
      <c r="T766" s="130"/>
      <c r="U766" s="154" t="s">
        <v>1905</v>
      </c>
    </row>
    <row r="767" spans="1:21" ht="15.75" thickBot="1">
      <c r="A767" s="45">
        <v>1263</v>
      </c>
      <c r="B767" s="123"/>
      <c r="C767" s="123"/>
      <c r="D767" s="123"/>
      <c r="E767" s="123"/>
      <c r="F767" s="123"/>
      <c r="G767" s="127" t="s">
        <v>210</v>
      </c>
      <c r="H767" s="128">
        <v>2000</v>
      </c>
      <c r="I767" s="128" t="s">
        <v>1902</v>
      </c>
      <c r="J767" s="128">
        <f t="shared" si="22"/>
        <v>6</v>
      </c>
      <c r="K767" s="128" t="s">
        <v>269</v>
      </c>
      <c r="L767" s="128" t="s">
        <v>40</v>
      </c>
      <c r="M767" s="129" t="s">
        <v>34</v>
      </c>
      <c r="N767" s="129" t="s">
        <v>28</v>
      </c>
      <c r="O767" s="129" t="s">
        <v>32</v>
      </c>
      <c r="P767" s="129" t="str">
        <f t="shared" si="23"/>
        <v>N</v>
      </c>
      <c r="Q767" s="128" t="s">
        <v>1906</v>
      </c>
      <c r="R767" s="128">
        <v>43.89</v>
      </c>
      <c r="S767" s="128">
        <v>49.9</v>
      </c>
      <c r="T767" s="130" t="s">
        <v>998</v>
      </c>
      <c r="U767" s="154"/>
    </row>
    <row r="768" spans="1:21" ht="15.75" hidden="1" thickBot="1">
      <c r="A768" s="45">
        <v>1263</v>
      </c>
      <c r="B768" s="123"/>
      <c r="C768" s="123"/>
      <c r="D768" s="123"/>
      <c r="E768" s="123"/>
      <c r="F768" s="123"/>
      <c r="G768" s="127" t="s">
        <v>210</v>
      </c>
      <c r="H768" s="128">
        <v>2000</v>
      </c>
      <c r="I768" s="128" t="s">
        <v>1902</v>
      </c>
      <c r="J768" s="128">
        <f t="shared" si="22"/>
        <v>6</v>
      </c>
      <c r="K768" s="128" t="s">
        <v>1907</v>
      </c>
      <c r="L768" s="128" t="s">
        <v>30</v>
      </c>
      <c r="M768" s="129" t="s">
        <v>1013</v>
      </c>
      <c r="N768" s="129" t="s">
        <v>28</v>
      </c>
      <c r="O768" s="129" t="s">
        <v>28</v>
      </c>
      <c r="P768" s="129" t="str">
        <f t="shared" si="23"/>
        <v>N/A</v>
      </c>
      <c r="Q768" s="128" t="s">
        <v>1908</v>
      </c>
      <c r="R768" s="128">
        <v>1.56</v>
      </c>
      <c r="S768" s="130"/>
      <c r="T768" s="130" t="s">
        <v>1069</v>
      </c>
      <c r="U768" s="154" t="s">
        <v>1905</v>
      </c>
    </row>
    <row r="769" spans="1:21" ht="15.75" hidden="1" thickBot="1">
      <c r="A769" s="45">
        <v>1263</v>
      </c>
      <c r="B769" s="123"/>
      <c r="C769" s="123"/>
      <c r="D769" s="123"/>
      <c r="E769" s="123"/>
      <c r="F769" s="123"/>
      <c r="G769" s="127" t="s">
        <v>210</v>
      </c>
      <c r="H769" s="128">
        <v>2000</v>
      </c>
      <c r="I769" s="128" t="s">
        <v>1902</v>
      </c>
      <c r="J769" s="128">
        <f t="shared" si="22"/>
        <v>6</v>
      </c>
      <c r="K769" s="128" t="s">
        <v>1909</v>
      </c>
      <c r="L769" s="128" t="s">
        <v>30</v>
      </c>
      <c r="M769" s="129" t="s">
        <v>31</v>
      </c>
      <c r="N769" s="129" t="s">
        <v>28</v>
      </c>
      <c r="O769" s="129" t="s">
        <v>28</v>
      </c>
      <c r="P769" s="129" t="str">
        <f t="shared" si="23"/>
        <v>N/A</v>
      </c>
      <c r="Q769" s="132" t="s">
        <v>1910</v>
      </c>
      <c r="R769" s="128">
        <v>12.09</v>
      </c>
      <c r="S769" s="130"/>
      <c r="T769" s="130" t="s">
        <v>31</v>
      </c>
      <c r="U769" s="154" t="s">
        <v>1911</v>
      </c>
    </row>
    <row r="770" spans="1:21" ht="15.75" hidden="1" thickBot="1">
      <c r="A770" s="45">
        <v>1263</v>
      </c>
      <c r="B770" s="123"/>
      <c r="C770" s="123"/>
      <c r="D770" s="123"/>
      <c r="E770" s="123"/>
      <c r="F770" s="123"/>
      <c r="G770" s="127" t="s">
        <v>210</v>
      </c>
      <c r="H770" s="128">
        <v>2000</v>
      </c>
      <c r="I770" s="128" t="s">
        <v>1902</v>
      </c>
      <c r="J770" s="128">
        <f t="shared" ref="J770:J833" si="24">COUNTIF(A$2:A$2215, A770)</f>
        <v>6</v>
      </c>
      <c r="K770" s="128" t="s">
        <v>276</v>
      </c>
      <c r="L770" s="128" t="s">
        <v>30</v>
      </c>
      <c r="M770" s="129" t="s">
        <v>31</v>
      </c>
      <c r="N770" s="129" t="s">
        <v>32</v>
      </c>
      <c r="O770" s="129" t="s">
        <v>28</v>
      </c>
      <c r="P770" s="129" t="str">
        <f t="shared" si="23"/>
        <v>N/A</v>
      </c>
      <c r="Q770" s="132" t="s">
        <v>1912</v>
      </c>
      <c r="R770" s="128">
        <v>22.18</v>
      </c>
      <c r="S770" s="128">
        <v>50.1</v>
      </c>
      <c r="T770" s="130" t="s">
        <v>31</v>
      </c>
      <c r="U770" s="154"/>
    </row>
    <row r="771" spans="1:21" ht="15.75" hidden="1" thickBot="1">
      <c r="A771" s="45">
        <v>1264</v>
      </c>
      <c r="B771" s="123"/>
      <c r="C771" s="123"/>
      <c r="D771" s="123"/>
      <c r="E771" s="123"/>
      <c r="F771" s="123"/>
      <c r="G771" s="127" t="s">
        <v>210</v>
      </c>
      <c r="H771" s="128">
        <v>2000</v>
      </c>
      <c r="I771" s="128" t="s">
        <v>1913</v>
      </c>
      <c r="J771" s="128">
        <f t="shared" si="24"/>
        <v>6</v>
      </c>
      <c r="K771" s="128" t="s">
        <v>1914</v>
      </c>
      <c r="L771" s="128" t="s">
        <v>40</v>
      </c>
      <c r="M771" s="129" t="s">
        <v>31</v>
      </c>
      <c r="N771" s="129" t="s">
        <v>28</v>
      </c>
      <c r="O771" s="129" t="s">
        <v>28</v>
      </c>
      <c r="P771" s="129" t="str">
        <f t="shared" ref="P771:P834" si="25">IF(O771="N", "N/A", IF(AND(N771="N",  O771="Y"), "N", IF(AND(O771="Y", N771="Y"), "Y", "")))</f>
        <v>N/A</v>
      </c>
      <c r="Q771" s="132" t="s">
        <v>1915</v>
      </c>
      <c r="R771" s="128">
        <v>33.74</v>
      </c>
      <c r="S771" s="128">
        <v>48.07</v>
      </c>
      <c r="T771" s="130" t="s">
        <v>31</v>
      </c>
      <c r="U771" s="154"/>
    </row>
    <row r="772" spans="1:21" ht="15.75" hidden="1" thickBot="1">
      <c r="A772" s="45">
        <v>1264</v>
      </c>
      <c r="B772" s="123"/>
      <c r="C772" s="123"/>
      <c r="D772" s="123"/>
      <c r="E772" s="123"/>
      <c r="F772" s="123"/>
      <c r="G772" s="127" t="s">
        <v>210</v>
      </c>
      <c r="H772" s="128">
        <v>2000</v>
      </c>
      <c r="I772" s="128" t="s">
        <v>1913</v>
      </c>
      <c r="J772" s="128">
        <f t="shared" si="24"/>
        <v>6</v>
      </c>
      <c r="K772" s="128" t="s">
        <v>1916</v>
      </c>
      <c r="L772" s="128" t="s">
        <v>30</v>
      </c>
      <c r="M772" s="129" t="s">
        <v>31</v>
      </c>
      <c r="N772" s="129" t="s">
        <v>28</v>
      </c>
      <c r="O772" s="129" t="s">
        <v>28</v>
      </c>
      <c r="P772" s="129" t="str">
        <f t="shared" si="25"/>
        <v>N/A</v>
      </c>
      <c r="Q772" s="128" t="s">
        <v>1917</v>
      </c>
      <c r="R772" s="128">
        <v>3.89</v>
      </c>
      <c r="S772" s="130"/>
      <c r="T772" s="130" t="s">
        <v>31</v>
      </c>
      <c r="U772" s="154"/>
    </row>
    <row r="773" spans="1:21" ht="15.75" hidden="1" thickBot="1">
      <c r="A773" s="45">
        <v>1264</v>
      </c>
      <c r="B773" s="123"/>
      <c r="C773" s="123"/>
      <c r="D773" s="123"/>
      <c r="E773" s="123"/>
      <c r="F773" s="123"/>
      <c r="G773" s="127" t="s">
        <v>210</v>
      </c>
      <c r="H773" s="128">
        <v>2000</v>
      </c>
      <c r="I773" s="128" t="s">
        <v>1913</v>
      </c>
      <c r="J773" s="128">
        <f t="shared" si="24"/>
        <v>6</v>
      </c>
      <c r="K773" s="128" t="s">
        <v>1918</v>
      </c>
      <c r="L773" s="128" t="s">
        <v>30</v>
      </c>
      <c r="M773" s="129" t="s">
        <v>1003</v>
      </c>
      <c r="N773" s="129" t="s">
        <v>28</v>
      </c>
      <c r="O773" s="129" t="s">
        <v>28</v>
      </c>
      <c r="P773" s="129" t="str">
        <f t="shared" si="25"/>
        <v>N/A</v>
      </c>
      <c r="Q773" s="128" t="s">
        <v>1004</v>
      </c>
      <c r="R773" s="128">
        <v>6.03</v>
      </c>
      <c r="S773" s="130"/>
      <c r="T773" s="130"/>
      <c r="U773" s="154"/>
    </row>
    <row r="774" spans="1:21" ht="15.75" hidden="1" thickBot="1">
      <c r="A774" s="45">
        <v>1264</v>
      </c>
      <c r="B774" s="123"/>
      <c r="C774" s="123"/>
      <c r="D774" s="123"/>
      <c r="E774" s="123"/>
      <c r="F774" s="123"/>
      <c r="G774" s="127" t="s">
        <v>210</v>
      </c>
      <c r="H774" s="128">
        <v>2000</v>
      </c>
      <c r="I774" s="128" t="s">
        <v>1913</v>
      </c>
      <c r="J774" s="128">
        <f t="shared" si="24"/>
        <v>6</v>
      </c>
      <c r="K774" s="128" t="s">
        <v>277</v>
      </c>
      <c r="L774" s="128" t="s">
        <v>30</v>
      </c>
      <c r="M774" s="129" t="s">
        <v>31</v>
      </c>
      <c r="N774" s="129" t="s">
        <v>32</v>
      </c>
      <c r="O774" s="129" t="s">
        <v>32</v>
      </c>
      <c r="P774" s="129" t="str">
        <f t="shared" si="25"/>
        <v>Y</v>
      </c>
      <c r="Q774" s="128" t="s">
        <v>1919</v>
      </c>
      <c r="R774" s="128">
        <v>49.89</v>
      </c>
      <c r="S774" s="128">
        <v>51.93</v>
      </c>
      <c r="T774" s="130" t="s">
        <v>31</v>
      </c>
      <c r="U774" s="154"/>
    </row>
    <row r="775" spans="1:21" ht="15.75" hidden="1" thickBot="1">
      <c r="A775" s="45">
        <v>1264</v>
      </c>
      <c r="B775" s="123"/>
      <c r="C775" s="123"/>
      <c r="D775" s="123"/>
      <c r="E775" s="123"/>
      <c r="F775" s="123"/>
      <c r="G775" s="127" t="s">
        <v>210</v>
      </c>
      <c r="H775" s="128">
        <v>2000</v>
      </c>
      <c r="I775" s="128" t="s">
        <v>1913</v>
      </c>
      <c r="J775" s="128">
        <f t="shared" si="24"/>
        <v>6</v>
      </c>
      <c r="K775" s="128" t="s">
        <v>1920</v>
      </c>
      <c r="L775" s="128" t="s">
        <v>30</v>
      </c>
      <c r="M775" s="129" t="s">
        <v>1003</v>
      </c>
      <c r="N775" s="129" t="s">
        <v>28</v>
      </c>
      <c r="O775" s="129" t="s">
        <v>28</v>
      </c>
      <c r="P775" s="129" t="str">
        <f t="shared" si="25"/>
        <v>N/A</v>
      </c>
      <c r="Q775" s="128" t="s">
        <v>1004</v>
      </c>
      <c r="R775" s="128">
        <v>3.53</v>
      </c>
      <c r="S775" s="130"/>
      <c r="T775" s="130"/>
      <c r="U775" s="154"/>
    </row>
    <row r="776" spans="1:21" ht="15.75" hidden="1" thickBot="1">
      <c r="A776" s="45">
        <v>1264</v>
      </c>
      <c r="B776" s="123"/>
      <c r="C776" s="123"/>
      <c r="D776" s="123"/>
      <c r="E776" s="123"/>
      <c r="F776" s="123"/>
      <c r="G776" s="127" t="s">
        <v>210</v>
      </c>
      <c r="H776" s="128">
        <v>2000</v>
      </c>
      <c r="I776" s="128" t="s">
        <v>1913</v>
      </c>
      <c r="J776" s="128">
        <f t="shared" si="24"/>
        <v>6</v>
      </c>
      <c r="K776" s="128" t="s">
        <v>1782</v>
      </c>
      <c r="L776" s="128" t="s">
        <v>30</v>
      </c>
      <c r="M776" s="129" t="s">
        <v>31</v>
      </c>
      <c r="N776" s="129" t="s">
        <v>28</v>
      </c>
      <c r="O776" s="129" t="s">
        <v>28</v>
      </c>
      <c r="P776" s="129" t="str">
        <f t="shared" si="25"/>
        <v>N/A</v>
      </c>
      <c r="Q776" s="132" t="s">
        <v>1921</v>
      </c>
      <c r="R776" s="128">
        <v>2.73</v>
      </c>
      <c r="S776" s="130"/>
      <c r="T776" s="130" t="s">
        <v>31</v>
      </c>
      <c r="U776" s="154"/>
    </row>
    <row r="777" spans="1:21" ht="15.75" hidden="1" thickBot="1">
      <c r="A777" s="45">
        <v>1265</v>
      </c>
      <c r="B777" s="123"/>
      <c r="C777" s="123"/>
      <c r="D777" s="123"/>
      <c r="E777" s="123"/>
      <c r="F777" s="123"/>
      <c r="G777" s="127" t="s">
        <v>210</v>
      </c>
      <c r="H777" s="128">
        <v>2000</v>
      </c>
      <c r="I777" s="128" t="s">
        <v>1922</v>
      </c>
      <c r="J777" s="128">
        <f t="shared" si="24"/>
        <v>5</v>
      </c>
      <c r="K777" s="128" t="s">
        <v>1772</v>
      </c>
      <c r="L777" s="128" t="s">
        <v>40</v>
      </c>
      <c r="M777" s="129" t="s">
        <v>1065</v>
      </c>
      <c r="N777" s="129" t="s">
        <v>28</v>
      </c>
      <c r="O777" s="129" t="s">
        <v>28</v>
      </c>
      <c r="P777" s="129" t="str">
        <f t="shared" si="25"/>
        <v>N/A</v>
      </c>
      <c r="Q777" s="130"/>
      <c r="R777" s="128">
        <v>6.65</v>
      </c>
      <c r="S777" s="130"/>
      <c r="T777" s="130"/>
      <c r="U777" s="154"/>
    </row>
    <row r="778" spans="1:21" ht="26.25" hidden="1" thickBot="1">
      <c r="A778" s="45">
        <v>1265</v>
      </c>
      <c r="B778" s="123"/>
      <c r="C778" s="123"/>
      <c r="D778" s="123"/>
      <c r="E778" s="123"/>
      <c r="F778" s="123"/>
      <c r="G778" s="127" t="s">
        <v>210</v>
      </c>
      <c r="H778" s="128">
        <v>2000</v>
      </c>
      <c r="I778" s="128" t="s">
        <v>1922</v>
      </c>
      <c r="J778" s="128">
        <f t="shared" si="24"/>
        <v>5</v>
      </c>
      <c r="K778" s="128" t="s">
        <v>1687</v>
      </c>
      <c r="L778" s="128" t="s">
        <v>40</v>
      </c>
      <c r="M778" s="129" t="s">
        <v>1065</v>
      </c>
      <c r="N778" s="129" t="s">
        <v>28</v>
      </c>
      <c r="O778" s="129" t="s">
        <v>28</v>
      </c>
      <c r="P778" s="129" t="str">
        <f t="shared" si="25"/>
        <v>N/A</v>
      </c>
      <c r="Q778" s="128" t="s">
        <v>1923</v>
      </c>
      <c r="R778" s="128">
        <v>14.17</v>
      </c>
      <c r="S778" s="130"/>
      <c r="T778" s="130" t="s">
        <v>1051</v>
      </c>
      <c r="U778" s="154"/>
    </row>
    <row r="779" spans="1:21" ht="15.75" hidden="1" thickBot="1">
      <c r="A779" s="45">
        <v>1265</v>
      </c>
      <c r="B779" s="123"/>
      <c r="C779" s="123"/>
      <c r="D779" s="123"/>
      <c r="E779" s="123"/>
      <c r="F779" s="123"/>
      <c r="G779" s="127" t="s">
        <v>210</v>
      </c>
      <c r="H779" s="128">
        <v>2000</v>
      </c>
      <c r="I779" s="128" t="s">
        <v>1922</v>
      </c>
      <c r="J779" s="128">
        <f t="shared" si="24"/>
        <v>5</v>
      </c>
      <c r="K779" s="128" t="s">
        <v>1924</v>
      </c>
      <c r="L779" s="128" t="s">
        <v>30</v>
      </c>
      <c r="M779" s="129" t="s">
        <v>1003</v>
      </c>
      <c r="N779" s="129" t="s">
        <v>28</v>
      </c>
      <c r="O779" s="129" t="s">
        <v>28</v>
      </c>
      <c r="P779" s="129" t="str">
        <f t="shared" si="25"/>
        <v>N/A</v>
      </c>
      <c r="Q779" s="128" t="s">
        <v>1004</v>
      </c>
      <c r="R779" s="128">
        <v>5.51</v>
      </c>
      <c r="S779" s="130"/>
      <c r="T779" s="130"/>
      <c r="U779" s="154"/>
    </row>
    <row r="780" spans="1:21" ht="15.75" hidden="1" thickBot="1">
      <c r="A780" s="45">
        <v>1265</v>
      </c>
      <c r="B780" s="123"/>
      <c r="C780" s="123"/>
      <c r="D780" s="123"/>
      <c r="E780" s="123"/>
      <c r="F780" s="123"/>
      <c r="G780" s="127" t="s">
        <v>210</v>
      </c>
      <c r="H780" s="128">
        <v>2000</v>
      </c>
      <c r="I780" s="128" t="s">
        <v>1922</v>
      </c>
      <c r="J780" s="128">
        <f t="shared" si="24"/>
        <v>5</v>
      </c>
      <c r="K780" s="128" t="s">
        <v>264</v>
      </c>
      <c r="L780" s="128" t="s">
        <v>30</v>
      </c>
      <c r="M780" s="129" t="s">
        <v>31</v>
      </c>
      <c r="N780" s="129" t="s">
        <v>32</v>
      </c>
      <c r="O780" s="129" t="s">
        <v>32</v>
      </c>
      <c r="P780" s="129" t="str">
        <f t="shared" si="25"/>
        <v>Y</v>
      </c>
      <c r="Q780" s="130"/>
      <c r="R780" s="128">
        <v>68.16</v>
      </c>
      <c r="S780" s="130"/>
      <c r="T780" s="130"/>
      <c r="U780" s="154"/>
    </row>
    <row r="781" spans="1:21" ht="15.75" hidden="1" thickBot="1">
      <c r="A781" s="45">
        <v>1265</v>
      </c>
      <c r="B781" s="123"/>
      <c r="C781" s="123"/>
      <c r="D781" s="123"/>
      <c r="E781" s="123"/>
      <c r="F781" s="123"/>
      <c r="G781" s="127" t="s">
        <v>210</v>
      </c>
      <c r="H781" s="128">
        <v>2000</v>
      </c>
      <c r="I781" s="128" t="s">
        <v>1922</v>
      </c>
      <c r="J781" s="128">
        <f t="shared" si="24"/>
        <v>5</v>
      </c>
      <c r="K781" s="128" t="s">
        <v>1925</v>
      </c>
      <c r="L781" s="128" t="s">
        <v>40</v>
      </c>
      <c r="M781" s="129" t="s">
        <v>1003</v>
      </c>
      <c r="N781" s="129" t="s">
        <v>28</v>
      </c>
      <c r="O781" s="129" t="s">
        <v>28</v>
      </c>
      <c r="P781" s="129" t="str">
        <f t="shared" si="25"/>
        <v>N/A</v>
      </c>
      <c r="Q781" s="144" t="s">
        <v>1004</v>
      </c>
      <c r="R781" s="128">
        <v>5.3</v>
      </c>
      <c r="S781" s="130"/>
      <c r="T781" s="130"/>
      <c r="U781" s="154"/>
    </row>
    <row r="782" spans="1:21" ht="15.75" hidden="1" thickBot="1">
      <c r="A782" s="45">
        <v>1266</v>
      </c>
      <c r="B782" s="123"/>
      <c r="C782" s="123"/>
      <c r="D782" s="123"/>
      <c r="E782" s="123"/>
      <c r="F782" s="123"/>
      <c r="G782" s="127" t="s">
        <v>210</v>
      </c>
      <c r="H782" s="128">
        <v>2000</v>
      </c>
      <c r="I782" s="128" t="s">
        <v>1926</v>
      </c>
      <c r="J782" s="128">
        <f t="shared" si="24"/>
        <v>12</v>
      </c>
      <c r="K782" s="128" t="s">
        <v>1927</v>
      </c>
      <c r="L782" s="128" t="s">
        <v>30</v>
      </c>
      <c r="M782" s="129" t="s">
        <v>31</v>
      </c>
      <c r="N782" s="129" t="s">
        <v>28</v>
      </c>
      <c r="O782" s="129" t="s">
        <v>28</v>
      </c>
      <c r="P782" s="129" t="str">
        <f t="shared" si="25"/>
        <v>N/A</v>
      </c>
      <c r="Q782" s="138" t="s">
        <v>1928</v>
      </c>
      <c r="R782" s="128">
        <v>0.99</v>
      </c>
      <c r="S782" s="130"/>
      <c r="T782" s="130" t="s">
        <v>31</v>
      </c>
      <c r="U782" s="154"/>
    </row>
    <row r="783" spans="1:21" ht="15.75" hidden="1" thickBot="1">
      <c r="A783" s="45">
        <v>1266</v>
      </c>
      <c r="B783" s="123"/>
      <c r="C783" s="123"/>
      <c r="D783" s="123"/>
      <c r="E783" s="123"/>
      <c r="F783" s="123"/>
      <c r="G783" s="127" t="s">
        <v>210</v>
      </c>
      <c r="H783" s="128">
        <v>2000</v>
      </c>
      <c r="I783" s="128" t="s">
        <v>1926</v>
      </c>
      <c r="J783" s="128">
        <f t="shared" si="24"/>
        <v>12</v>
      </c>
      <c r="K783" s="128" t="s">
        <v>1929</v>
      </c>
      <c r="L783" s="128" t="s">
        <v>30</v>
      </c>
      <c r="M783" s="129" t="s">
        <v>1003</v>
      </c>
      <c r="N783" s="129" t="s">
        <v>28</v>
      </c>
      <c r="O783" s="129" t="s">
        <v>28</v>
      </c>
      <c r="P783" s="129" t="str">
        <f t="shared" si="25"/>
        <v>N/A</v>
      </c>
      <c r="Q783" s="132" t="s">
        <v>1930</v>
      </c>
      <c r="R783" s="128">
        <v>2.95</v>
      </c>
      <c r="S783" s="130"/>
      <c r="T783" s="130"/>
      <c r="U783" s="154"/>
    </row>
    <row r="784" spans="1:21" ht="15.75" hidden="1" thickBot="1">
      <c r="A784" s="45">
        <v>1266</v>
      </c>
      <c r="B784" s="123"/>
      <c r="C784" s="123"/>
      <c r="D784" s="123"/>
      <c r="E784" s="123"/>
      <c r="F784" s="123"/>
      <c r="G784" s="127" t="s">
        <v>210</v>
      </c>
      <c r="H784" s="128">
        <v>2000</v>
      </c>
      <c r="I784" s="128" t="s">
        <v>1926</v>
      </c>
      <c r="J784" s="128">
        <f t="shared" si="24"/>
        <v>12</v>
      </c>
      <c r="K784" s="128" t="s">
        <v>1931</v>
      </c>
      <c r="L784" s="128" t="s">
        <v>40</v>
      </c>
      <c r="M784" s="129" t="s">
        <v>1932</v>
      </c>
      <c r="N784" s="129" t="s">
        <v>28</v>
      </c>
      <c r="O784" s="129" t="s">
        <v>28</v>
      </c>
      <c r="P784" s="129" t="str">
        <f t="shared" si="25"/>
        <v>N/A</v>
      </c>
      <c r="Q784" s="130"/>
      <c r="R784" s="128">
        <v>8.7200000000000006</v>
      </c>
      <c r="S784" s="130"/>
      <c r="T784" s="130"/>
      <c r="U784" s="154"/>
    </row>
    <row r="785" spans="1:21" ht="15.75" hidden="1" thickBot="1">
      <c r="A785" s="45">
        <v>1266</v>
      </c>
      <c r="B785" s="123"/>
      <c r="C785" s="123"/>
      <c r="D785" s="123"/>
      <c r="E785" s="123"/>
      <c r="F785" s="123"/>
      <c r="G785" s="127" t="s">
        <v>210</v>
      </c>
      <c r="H785" s="128">
        <v>2000</v>
      </c>
      <c r="I785" s="128" t="s">
        <v>1926</v>
      </c>
      <c r="J785" s="128">
        <f t="shared" si="24"/>
        <v>12</v>
      </c>
      <c r="K785" s="128" t="s">
        <v>1933</v>
      </c>
      <c r="L785" s="128" t="s">
        <v>1672</v>
      </c>
      <c r="M785" s="129" t="s">
        <v>1003</v>
      </c>
      <c r="N785" s="129" t="s">
        <v>28</v>
      </c>
      <c r="O785" s="129" t="s">
        <v>28</v>
      </c>
      <c r="P785" s="129" t="str">
        <f t="shared" si="25"/>
        <v>N/A</v>
      </c>
      <c r="Q785" s="128" t="s">
        <v>1004</v>
      </c>
      <c r="R785" s="128">
        <v>1.73</v>
      </c>
      <c r="S785" s="130"/>
      <c r="T785" s="130"/>
      <c r="U785" s="154"/>
    </row>
    <row r="786" spans="1:21" ht="15.75" hidden="1" thickBot="1">
      <c r="A786" s="45">
        <v>1266</v>
      </c>
      <c r="B786" s="123"/>
      <c r="C786" s="123"/>
      <c r="D786" s="123"/>
      <c r="E786" s="123"/>
      <c r="F786" s="123"/>
      <c r="G786" s="127" t="s">
        <v>210</v>
      </c>
      <c r="H786" s="128">
        <v>2000</v>
      </c>
      <c r="I786" s="128" t="s">
        <v>1926</v>
      </c>
      <c r="J786" s="128">
        <f t="shared" si="24"/>
        <v>12</v>
      </c>
      <c r="K786" s="128" t="s">
        <v>1934</v>
      </c>
      <c r="L786" s="128" t="s">
        <v>30</v>
      </c>
      <c r="M786" s="129" t="s">
        <v>34</v>
      </c>
      <c r="N786" s="129" t="s">
        <v>28</v>
      </c>
      <c r="O786" s="129" t="s">
        <v>28</v>
      </c>
      <c r="P786" s="129" t="str">
        <f t="shared" si="25"/>
        <v>N/A</v>
      </c>
      <c r="Q786" s="128" t="s">
        <v>1935</v>
      </c>
      <c r="R786" s="128">
        <v>3.97</v>
      </c>
      <c r="S786" s="130"/>
      <c r="T786" s="130" t="s">
        <v>1936</v>
      </c>
      <c r="U786" s="154"/>
    </row>
    <row r="787" spans="1:21" ht="15.75" hidden="1" thickBot="1">
      <c r="A787" s="45">
        <v>1266</v>
      </c>
      <c r="B787" s="123"/>
      <c r="C787" s="123"/>
      <c r="D787" s="123"/>
      <c r="E787" s="123"/>
      <c r="F787" s="123"/>
      <c r="G787" s="127" t="s">
        <v>210</v>
      </c>
      <c r="H787" s="128">
        <v>2000</v>
      </c>
      <c r="I787" s="128" t="s">
        <v>1926</v>
      </c>
      <c r="J787" s="128">
        <f t="shared" si="24"/>
        <v>12</v>
      </c>
      <c r="K787" s="128" t="s">
        <v>1813</v>
      </c>
      <c r="L787" s="128" t="s">
        <v>30</v>
      </c>
      <c r="M787" s="129" t="s">
        <v>201</v>
      </c>
      <c r="N787" s="129" t="s">
        <v>28</v>
      </c>
      <c r="O787" s="129" t="s">
        <v>28</v>
      </c>
      <c r="P787" s="129" t="str">
        <f t="shared" si="25"/>
        <v>N/A</v>
      </c>
      <c r="Q787" s="128" t="s">
        <v>1937</v>
      </c>
      <c r="R787" s="128">
        <v>2.38</v>
      </c>
      <c r="S787" s="130"/>
      <c r="T787" s="130" t="s">
        <v>998</v>
      </c>
      <c r="U787" s="154"/>
    </row>
    <row r="788" spans="1:21" ht="26.25" hidden="1" thickBot="1">
      <c r="A788" s="45">
        <v>1266</v>
      </c>
      <c r="B788" s="123"/>
      <c r="C788" s="123"/>
      <c r="D788" s="123"/>
      <c r="E788" s="123"/>
      <c r="F788" s="123"/>
      <c r="G788" s="127" t="s">
        <v>210</v>
      </c>
      <c r="H788" s="128">
        <v>2000</v>
      </c>
      <c r="I788" s="128" t="s">
        <v>1926</v>
      </c>
      <c r="J788" s="128">
        <f t="shared" si="24"/>
        <v>12</v>
      </c>
      <c r="K788" s="128" t="s">
        <v>1938</v>
      </c>
      <c r="L788" s="128" t="s">
        <v>30</v>
      </c>
      <c r="M788" s="129" t="s">
        <v>1065</v>
      </c>
      <c r="N788" s="129" t="s">
        <v>28</v>
      </c>
      <c r="O788" s="129" t="s">
        <v>28</v>
      </c>
      <c r="P788" s="129" t="str">
        <f t="shared" si="25"/>
        <v>N/A</v>
      </c>
      <c r="Q788" s="128" t="s">
        <v>1939</v>
      </c>
      <c r="R788" s="128">
        <v>4.8600000000000003</v>
      </c>
      <c r="S788" s="130"/>
      <c r="T788" s="130" t="s">
        <v>1940</v>
      </c>
      <c r="U788" s="154"/>
    </row>
    <row r="789" spans="1:21" ht="15.75" hidden="1" thickBot="1">
      <c r="A789" s="45">
        <v>1266</v>
      </c>
      <c r="B789" s="123"/>
      <c r="C789" s="123"/>
      <c r="D789" s="123"/>
      <c r="E789" s="123"/>
      <c r="F789" s="123"/>
      <c r="G789" s="127" t="s">
        <v>210</v>
      </c>
      <c r="H789" s="128">
        <v>2000</v>
      </c>
      <c r="I789" s="128" t="s">
        <v>1926</v>
      </c>
      <c r="J789" s="128">
        <f t="shared" si="24"/>
        <v>12</v>
      </c>
      <c r="K789" s="128" t="s">
        <v>1941</v>
      </c>
      <c r="L789" s="128" t="s">
        <v>30</v>
      </c>
      <c r="M789" s="129" t="s">
        <v>31</v>
      </c>
      <c r="N789" s="129" t="s">
        <v>28</v>
      </c>
      <c r="O789" s="129" t="s">
        <v>28</v>
      </c>
      <c r="P789" s="129" t="str">
        <f t="shared" si="25"/>
        <v>N/A</v>
      </c>
      <c r="Q789" s="128" t="s">
        <v>1942</v>
      </c>
      <c r="R789" s="128">
        <v>4</v>
      </c>
      <c r="S789" s="130"/>
      <c r="T789" s="130" t="s">
        <v>31</v>
      </c>
      <c r="U789" s="154"/>
    </row>
    <row r="790" spans="1:21" ht="15.75" hidden="1" thickBot="1">
      <c r="A790" s="45">
        <v>1266</v>
      </c>
      <c r="B790" s="123"/>
      <c r="C790" s="123"/>
      <c r="D790" s="123"/>
      <c r="E790" s="123"/>
      <c r="F790" s="123"/>
      <c r="G790" s="127" t="s">
        <v>210</v>
      </c>
      <c r="H790" s="128">
        <v>2000</v>
      </c>
      <c r="I790" s="128" t="s">
        <v>1926</v>
      </c>
      <c r="J790" s="128">
        <f t="shared" si="24"/>
        <v>12</v>
      </c>
      <c r="K790" s="128" t="s">
        <v>1943</v>
      </c>
      <c r="L790" s="128" t="s">
        <v>40</v>
      </c>
      <c r="M790" s="129" t="s">
        <v>201</v>
      </c>
      <c r="N790" s="129" t="s">
        <v>28</v>
      </c>
      <c r="O790" s="129" t="s">
        <v>28</v>
      </c>
      <c r="P790" s="129" t="str">
        <f t="shared" si="25"/>
        <v>N/A</v>
      </c>
      <c r="Q790" s="128" t="s">
        <v>1944</v>
      </c>
      <c r="R790" s="128">
        <v>32.770000000000003</v>
      </c>
      <c r="S790" s="128">
        <v>44.72</v>
      </c>
      <c r="T790" s="130" t="s">
        <v>998</v>
      </c>
      <c r="U790" s="154"/>
    </row>
    <row r="791" spans="1:21" ht="15.75" hidden="1" thickBot="1">
      <c r="A791" s="45">
        <v>1266</v>
      </c>
      <c r="B791" s="123"/>
      <c r="C791" s="123"/>
      <c r="D791" s="123"/>
      <c r="E791" s="123"/>
      <c r="F791" s="123"/>
      <c r="G791" s="127" t="s">
        <v>210</v>
      </c>
      <c r="H791" s="128">
        <v>2000</v>
      </c>
      <c r="I791" s="128" t="s">
        <v>1926</v>
      </c>
      <c r="J791" s="128">
        <f t="shared" si="24"/>
        <v>12</v>
      </c>
      <c r="K791" s="128" t="s">
        <v>1945</v>
      </c>
      <c r="L791" s="128" t="s">
        <v>40</v>
      </c>
      <c r="M791" s="129" t="s">
        <v>1932</v>
      </c>
      <c r="N791" s="129" t="s">
        <v>28</v>
      </c>
      <c r="O791" s="129" t="s">
        <v>28</v>
      </c>
      <c r="P791" s="129" t="str">
        <f t="shared" si="25"/>
        <v>N/A</v>
      </c>
      <c r="Q791" s="132" t="s">
        <v>1946</v>
      </c>
      <c r="R791" s="128">
        <v>8.94</v>
      </c>
      <c r="S791" s="130"/>
      <c r="T791" s="130" t="s">
        <v>1331</v>
      </c>
      <c r="U791" s="154"/>
    </row>
    <row r="792" spans="1:21" ht="15.75" hidden="1" thickBot="1">
      <c r="A792" s="45">
        <v>1266</v>
      </c>
      <c r="B792" s="123"/>
      <c r="C792" s="123"/>
      <c r="D792" s="123"/>
      <c r="E792" s="123"/>
      <c r="F792" s="123"/>
      <c r="G792" s="127" t="s">
        <v>210</v>
      </c>
      <c r="H792" s="128">
        <v>2000</v>
      </c>
      <c r="I792" s="128" t="s">
        <v>1926</v>
      </c>
      <c r="J792" s="128">
        <f t="shared" si="24"/>
        <v>12</v>
      </c>
      <c r="K792" s="128" t="s">
        <v>1947</v>
      </c>
      <c r="L792" s="128" t="s">
        <v>30</v>
      </c>
      <c r="M792" s="129" t="s">
        <v>34</v>
      </c>
      <c r="N792" s="129" t="s">
        <v>28</v>
      </c>
      <c r="O792" s="129" t="s">
        <v>28</v>
      </c>
      <c r="P792" s="129" t="str">
        <f t="shared" si="25"/>
        <v>N/A</v>
      </c>
      <c r="Q792" s="128" t="s">
        <v>1948</v>
      </c>
      <c r="R792" s="128">
        <v>7.73</v>
      </c>
      <c r="S792" s="130"/>
      <c r="T792" s="130" t="s">
        <v>1015</v>
      </c>
      <c r="U792" s="154"/>
    </row>
    <row r="793" spans="1:21" ht="15.75" hidden="1" thickBot="1">
      <c r="A793" s="45">
        <v>1266</v>
      </c>
      <c r="B793" s="123"/>
      <c r="C793" s="123"/>
      <c r="D793" s="123"/>
      <c r="E793" s="123"/>
      <c r="F793" s="123"/>
      <c r="G793" s="127" t="s">
        <v>210</v>
      </c>
      <c r="H793" s="128">
        <v>2000</v>
      </c>
      <c r="I793" s="128" t="s">
        <v>1926</v>
      </c>
      <c r="J793" s="128">
        <f t="shared" si="24"/>
        <v>12</v>
      </c>
      <c r="K793" s="128" t="s">
        <v>258</v>
      </c>
      <c r="L793" s="128" t="s">
        <v>40</v>
      </c>
      <c r="M793" s="129" t="s">
        <v>1932</v>
      </c>
      <c r="N793" s="129" t="s">
        <v>32</v>
      </c>
      <c r="O793" s="129" t="s">
        <v>28</v>
      </c>
      <c r="P793" s="129" t="str">
        <f t="shared" si="25"/>
        <v>N/A</v>
      </c>
      <c r="Q793" s="130"/>
      <c r="R793" s="128">
        <v>20.673999999999999</v>
      </c>
      <c r="S793" s="128">
        <v>55.28</v>
      </c>
      <c r="T793" s="130"/>
      <c r="U793" s="154"/>
    </row>
    <row r="794" spans="1:21" ht="15.75" thickBot="1">
      <c r="A794" s="45">
        <v>1267</v>
      </c>
      <c r="B794" s="123"/>
      <c r="C794" s="123"/>
      <c r="D794" s="123"/>
      <c r="E794" s="123"/>
      <c r="F794" s="123"/>
      <c r="G794" s="127" t="s">
        <v>210</v>
      </c>
      <c r="H794" s="128">
        <v>2000</v>
      </c>
      <c r="I794" s="128" t="s">
        <v>1949</v>
      </c>
      <c r="J794" s="128">
        <f t="shared" si="24"/>
        <v>9</v>
      </c>
      <c r="K794" s="128" t="s">
        <v>280</v>
      </c>
      <c r="L794" s="128" t="s">
        <v>30</v>
      </c>
      <c r="M794" s="129" t="s">
        <v>201</v>
      </c>
      <c r="N794" s="129" t="s">
        <v>28</v>
      </c>
      <c r="O794" s="129" t="s">
        <v>32</v>
      </c>
      <c r="P794" s="129" t="str">
        <f t="shared" si="25"/>
        <v>N</v>
      </c>
      <c r="Q794" s="128" t="s">
        <v>1950</v>
      </c>
      <c r="R794" s="128">
        <v>26.64</v>
      </c>
      <c r="S794" s="128">
        <v>39.119999999999997</v>
      </c>
      <c r="T794" s="130" t="s">
        <v>998</v>
      </c>
      <c r="U794" s="154"/>
    </row>
    <row r="795" spans="1:21" ht="15.75" hidden="1" thickBot="1">
      <c r="A795" s="45">
        <v>1267</v>
      </c>
      <c r="B795" s="123"/>
      <c r="C795" s="123"/>
      <c r="D795" s="123"/>
      <c r="E795" s="123"/>
      <c r="F795" s="123"/>
      <c r="G795" s="127" t="s">
        <v>210</v>
      </c>
      <c r="H795" s="128">
        <v>2000</v>
      </c>
      <c r="I795" s="128" t="s">
        <v>1949</v>
      </c>
      <c r="J795" s="128">
        <f t="shared" si="24"/>
        <v>9</v>
      </c>
      <c r="K795" s="128" t="s">
        <v>1761</v>
      </c>
      <c r="L795" s="128" t="s">
        <v>30</v>
      </c>
      <c r="M795" s="129" t="s">
        <v>1065</v>
      </c>
      <c r="N795" s="129" t="s">
        <v>28</v>
      </c>
      <c r="O795" s="129" t="s">
        <v>28</v>
      </c>
      <c r="P795" s="129" t="str">
        <f t="shared" si="25"/>
        <v>N/A</v>
      </c>
      <c r="Q795" s="130"/>
      <c r="R795" s="128">
        <v>2.33</v>
      </c>
      <c r="S795" s="130"/>
      <c r="T795" s="130"/>
      <c r="U795" s="154" t="s">
        <v>1951</v>
      </c>
    </row>
    <row r="796" spans="1:21" ht="15.75" hidden="1" thickBot="1">
      <c r="A796" s="45">
        <v>1267</v>
      </c>
      <c r="B796" s="123"/>
      <c r="C796" s="123"/>
      <c r="D796" s="123"/>
      <c r="E796" s="123"/>
      <c r="F796" s="123"/>
      <c r="G796" s="127" t="s">
        <v>210</v>
      </c>
      <c r="H796" s="128">
        <v>2000</v>
      </c>
      <c r="I796" s="128" t="s">
        <v>1949</v>
      </c>
      <c r="J796" s="128">
        <f t="shared" si="24"/>
        <v>9</v>
      </c>
      <c r="K796" s="128" t="s">
        <v>1952</v>
      </c>
      <c r="L796" s="128" t="s">
        <v>30</v>
      </c>
      <c r="M796" s="129" t="s">
        <v>31</v>
      </c>
      <c r="N796" s="129" t="s">
        <v>28</v>
      </c>
      <c r="O796" s="129" t="s">
        <v>28</v>
      </c>
      <c r="P796" s="129" t="str">
        <f t="shared" si="25"/>
        <v>N/A</v>
      </c>
      <c r="Q796" s="128" t="s">
        <v>1953</v>
      </c>
      <c r="R796" s="128">
        <v>1.71</v>
      </c>
      <c r="S796" s="130"/>
      <c r="T796" s="130" t="s">
        <v>31</v>
      </c>
      <c r="U796" s="154" t="s">
        <v>1951</v>
      </c>
    </row>
    <row r="797" spans="1:21" ht="15.75" hidden="1" thickBot="1">
      <c r="A797" s="45">
        <v>1267</v>
      </c>
      <c r="B797" s="123"/>
      <c r="C797" s="123"/>
      <c r="D797" s="123"/>
      <c r="E797" s="123"/>
      <c r="F797" s="123"/>
      <c r="G797" s="127" t="s">
        <v>210</v>
      </c>
      <c r="H797" s="128">
        <v>2000</v>
      </c>
      <c r="I797" s="128" t="s">
        <v>1949</v>
      </c>
      <c r="J797" s="128">
        <f t="shared" si="24"/>
        <v>9</v>
      </c>
      <c r="K797" s="128" t="s">
        <v>265</v>
      </c>
      <c r="L797" s="128" t="s">
        <v>30</v>
      </c>
      <c r="M797" s="129" t="s">
        <v>1065</v>
      </c>
      <c r="N797" s="129" t="s">
        <v>32</v>
      </c>
      <c r="O797" s="129" t="s">
        <v>28</v>
      </c>
      <c r="P797" s="129" t="str">
        <f t="shared" si="25"/>
        <v>N/A</v>
      </c>
      <c r="Q797" s="130"/>
      <c r="R797" s="128">
        <v>29.38</v>
      </c>
      <c r="S797" s="128">
        <v>60.88</v>
      </c>
      <c r="T797" s="130"/>
      <c r="U797" s="154" t="s">
        <v>1951</v>
      </c>
    </row>
    <row r="798" spans="1:21" ht="15.75" hidden="1" thickBot="1">
      <c r="A798" s="45">
        <v>1267</v>
      </c>
      <c r="B798" s="123"/>
      <c r="C798" s="123"/>
      <c r="D798" s="123"/>
      <c r="E798" s="123"/>
      <c r="F798" s="123"/>
      <c r="G798" s="127" t="s">
        <v>210</v>
      </c>
      <c r="H798" s="128">
        <v>2000</v>
      </c>
      <c r="I798" s="128" t="s">
        <v>1949</v>
      </c>
      <c r="J798" s="128">
        <f t="shared" si="24"/>
        <v>9</v>
      </c>
      <c r="K798" s="128" t="s">
        <v>1954</v>
      </c>
      <c r="L798" s="128" t="s">
        <v>30</v>
      </c>
      <c r="M798" s="129" t="s">
        <v>1003</v>
      </c>
      <c r="N798" s="129" t="s">
        <v>28</v>
      </c>
      <c r="O798" s="129" t="s">
        <v>28</v>
      </c>
      <c r="P798" s="129" t="str">
        <f t="shared" si="25"/>
        <v>N/A</v>
      </c>
      <c r="Q798" s="132" t="s">
        <v>1955</v>
      </c>
      <c r="R798" s="128">
        <v>1.76</v>
      </c>
      <c r="S798" s="130"/>
      <c r="T798" s="130"/>
      <c r="U798" s="154" t="s">
        <v>1951</v>
      </c>
    </row>
    <row r="799" spans="1:21" ht="15.75" hidden="1" thickBot="1">
      <c r="A799" s="45">
        <v>1267</v>
      </c>
      <c r="B799" s="123"/>
      <c r="C799" s="123"/>
      <c r="D799" s="123"/>
      <c r="E799" s="123"/>
      <c r="F799" s="123"/>
      <c r="G799" s="127" t="s">
        <v>210</v>
      </c>
      <c r="H799" s="128">
        <v>2000</v>
      </c>
      <c r="I799" s="128" t="s">
        <v>1949</v>
      </c>
      <c r="J799" s="128">
        <f t="shared" si="24"/>
        <v>9</v>
      </c>
      <c r="K799" s="128" t="s">
        <v>1956</v>
      </c>
      <c r="L799" s="128" t="s">
        <v>40</v>
      </c>
      <c r="M799" s="129" t="s">
        <v>1003</v>
      </c>
      <c r="N799" s="129" t="s">
        <v>28</v>
      </c>
      <c r="O799" s="129" t="s">
        <v>28</v>
      </c>
      <c r="P799" s="129" t="str">
        <f t="shared" si="25"/>
        <v>N/A</v>
      </c>
      <c r="Q799" s="128" t="s">
        <v>1004</v>
      </c>
      <c r="R799" s="128">
        <v>3.98</v>
      </c>
      <c r="S799" s="130"/>
      <c r="T799" s="130"/>
      <c r="U799" s="154" t="s">
        <v>1951</v>
      </c>
    </row>
    <row r="800" spans="1:21" ht="15.75" hidden="1" thickBot="1">
      <c r="A800" s="45">
        <v>1267</v>
      </c>
      <c r="B800" s="123"/>
      <c r="C800" s="123"/>
      <c r="D800" s="123"/>
      <c r="E800" s="123"/>
      <c r="F800" s="123"/>
      <c r="G800" s="127" t="s">
        <v>210</v>
      </c>
      <c r="H800" s="128">
        <v>2000</v>
      </c>
      <c r="I800" s="128" t="s">
        <v>1949</v>
      </c>
      <c r="J800" s="128">
        <f t="shared" si="24"/>
        <v>9</v>
      </c>
      <c r="K800" s="128" t="s">
        <v>1957</v>
      </c>
      <c r="L800" s="128" t="s">
        <v>40</v>
      </c>
      <c r="M800" s="129" t="s">
        <v>34</v>
      </c>
      <c r="N800" s="129" t="s">
        <v>28</v>
      </c>
      <c r="O800" s="129" t="s">
        <v>28</v>
      </c>
      <c r="P800" s="129" t="str">
        <f t="shared" si="25"/>
        <v>N/A</v>
      </c>
      <c r="Q800" s="130"/>
      <c r="R800" s="128">
        <v>19.350000000000001</v>
      </c>
      <c r="S800" s="130"/>
      <c r="T800" s="130"/>
      <c r="U800" s="154" t="s">
        <v>1958</v>
      </c>
    </row>
    <row r="801" spans="1:21" ht="15.75" hidden="1" thickBot="1">
      <c r="A801" s="45">
        <v>1267</v>
      </c>
      <c r="B801" s="123"/>
      <c r="C801" s="123"/>
      <c r="D801" s="123"/>
      <c r="E801" s="123"/>
      <c r="F801" s="123"/>
      <c r="G801" s="127" t="s">
        <v>210</v>
      </c>
      <c r="H801" s="128">
        <v>2000</v>
      </c>
      <c r="I801" s="128" t="s">
        <v>1949</v>
      </c>
      <c r="J801" s="128">
        <f t="shared" si="24"/>
        <v>9</v>
      </c>
      <c r="K801" s="128" t="s">
        <v>1959</v>
      </c>
      <c r="L801" s="128" t="s">
        <v>40</v>
      </c>
      <c r="M801" s="129" t="s">
        <v>31</v>
      </c>
      <c r="N801" s="129" t="s">
        <v>28</v>
      </c>
      <c r="O801" s="129" t="s">
        <v>28</v>
      </c>
      <c r="P801" s="129" t="str">
        <f t="shared" si="25"/>
        <v>N/A</v>
      </c>
      <c r="Q801" s="130"/>
      <c r="R801" s="128">
        <v>10.41</v>
      </c>
      <c r="S801" s="130"/>
      <c r="T801" s="130"/>
      <c r="U801" s="154" t="s">
        <v>1951</v>
      </c>
    </row>
    <row r="802" spans="1:21" ht="15.75" hidden="1" thickBot="1">
      <c r="A802" s="45">
        <v>1267</v>
      </c>
      <c r="B802" s="123"/>
      <c r="C802" s="123"/>
      <c r="D802" s="123"/>
      <c r="E802" s="123"/>
      <c r="F802" s="123"/>
      <c r="G802" s="127" t="s">
        <v>210</v>
      </c>
      <c r="H802" s="128">
        <v>2000</v>
      </c>
      <c r="I802" s="128" t="s">
        <v>1949</v>
      </c>
      <c r="J802" s="128">
        <f t="shared" si="24"/>
        <v>9</v>
      </c>
      <c r="K802" s="128" t="s">
        <v>1960</v>
      </c>
      <c r="L802" s="128" t="s">
        <v>30</v>
      </c>
      <c r="M802" s="129" t="s">
        <v>1003</v>
      </c>
      <c r="N802" s="129" t="s">
        <v>28</v>
      </c>
      <c r="O802" s="129" t="s">
        <v>28</v>
      </c>
      <c r="P802" s="129" t="str">
        <f t="shared" si="25"/>
        <v>N/A</v>
      </c>
      <c r="Q802" s="132" t="s">
        <v>1961</v>
      </c>
      <c r="R802" s="128">
        <v>4.2699999999999996</v>
      </c>
      <c r="S802" s="130"/>
      <c r="T802" s="130"/>
      <c r="U802" s="154" t="s">
        <v>1951</v>
      </c>
    </row>
    <row r="803" spans="1:21" ht="15.75" thickBot="1">
      <c r="A803" s="45">
        <v>1255</v>
      </c>
      <c r="B803" s="123"/>
      <c r="C803" s="123"/>
      <c r="D803" s="123"/>
      <c r="E803" s="123"/>
      <c r="F803" s="123"/>
      <c r="G803" s="127" t="s">
        <v>210</v>
      </c>
      <c r="H803" s="128">
        <v>2001</v>
      </c>
      <c r="I803" s="128" t="s">
        <v>124</v>
      </c>
      <c r="J803" s="128">
        <f t="shared" si="24"/>
        <v>4</v>
      </c>
      <c r="K803" s="128" t="s">
        <v>1962</v>
      </c>
      <c r="L803" s="128" t="s">
        <v>30</v>
      </c>
      <c r="M803" s="129" t="s">
        <v>1065</v>
      </c>
      <c r="N803" s="129" t="s">
        <v>32</v>
      </c>
      <c r="O803" s="129"/>
      <c r="P803" s="129" t="str">
        <f t="shared" si="25"/>
        <v/>
      </c>
      <c r="Q803" s="130"/>
      <c r="R803" s="128">
        <v>26.79</v>
      </c>
      <c r="S803" s="128">
        <v>51.94</v>
      </c>
      <c r="T803" s="130"/>
      <c r="U803" s="152"/>
    </row>
    <row r="804" spans="1:21" ht="15.75" thickBot="1">
      <c r="A804" s="45">
        <v>1255</v>
      </c>
      <c r="B804" s="123"/>
      <c r="C804" s="123"/>
      <c r="D804" s="123"/>
      <c r="E804" s="123"/>
      <c r="F804" s="123"/>
      <c r="G804" s="127" t="s">
        <v>210</v>
      </c>
      <c r="H804" s="128">
        <v>2001</v>
      </c>
      <c r="I804" s="128" t="s">
        <v>124</v>
      </c>
      <c r="J804" s="128">
        <f t="shared" si="24"/>
        <v>4</v>
      </c>
      <c r="K804" s="128" t="s">
        <v>1963</v>
      </c>
      <c r="L804" s="128" t="s">
        <v>30</v>
      </c>
      <c r="M804" s="129" t="s">
        <v>31</v>
      </c>
      <c r="N804" s="129" t="s">
        <v>28</v>
      </c>
      <c r="O804" s="129"/>
      <c r="P804" s="129" t="str">
        <f t="shared" si="25"/>
        <v/>
      </c>
      <c r="Q804" s="128" t="s">
        <v>1964</v>
      </c>
      <c r="R804" s="128">
        <v>40.26</v>
      </c>
      <c r="S804" s="128">
        <v>47.64</v>
      </c>
      <c r="T804" s="130" t="s">
        <v>31</v>
      </c>
      <c r="U804" s="152"/>
    </row>
    <row r="805" spans="1:21" ht="15.75" thickBot="1">
      <c r="A805" s="45">
        <v>1255</v>
      </c>
      <c r="B805" s="123"/>
      <c r="C805" s="123"/>
      <c r="D805" s="123"/>
      <c r="E805" s="123"/>
      <c r="F805" s="123"/>
      <c r="G805" s="127" t="s">
        <v>210</v>
      </c>
      <c r="H805" s="128">
        <v>2001</v>
      </c>
      <c r="I805" s="128" t="s">
        <v>124</v>
      </c>
      <c r="J805" s="128">
        <f t="shared" si="24"/>
        <v>4</v>
      </c>
      <c r="K805" s="128" t="s">
        <v>1965</v>
      </c>
      <c r="L805" s="128" t="s">
        <v>30</v>
      </c>
      <c r="M805" s="129" t="s">
        <v>31</v>
      </c>
      <c r="N805" s="129" t="s">
        <v>28</v>
      </c>
      <c r="O805" s="129"/>
      <c r="P805" s="129" t="str">
        <f t="shared" si="25"/>
        <v/>
      </c>
      <c r="Q805" s="128" t="s">
        <v>1966</v>
      </c>
      <c r="R805" s="128">
        <v>14.6</v>
      </c>
      <c r="S805" s="130"/>
      <c r="T805" s="130" t="s">
        <v>31</v>
      </c>
      <c r="U805" s="152"/>
    </row>
    <row r="806" spans="1:21" ht="15.75" thickBot="1">
      <c r="A806" s="45">
        <v>1255</v>
      </c>
      <c r="B806" s="123"/>
      <c r="C806" s="123"/>
      <c r="D806" s="123"/>
      <c r="E806" s="123"/>
      <c r="F806" s="123"/>
      <c r="G806" s="127" t="s">
        <v>210</v>
      </c>
      <c r="H806" s="128">
        <v>2001</v>
      </c>
      <c r="I806" s="128" t="s">
        <v>124</v>
      </c>
      <c r="J806" s="128">
        <f t="shared" si="24"/>
        <v>4</v>
      </c>
      <c r="K806" s="128" t="s">
        <v>1967</v>
      </c>
      <c r="L806" s="128" t="s">
        <v>30</v>
      </c>
      <c r="M806" s="129" t="s">
        <v>31</v>
      </c>
      <c r="N806" s="129" t="s">
        <v>28</v>
      </c>
      <c r="O806" s="129"/>
      <c r="P806" s="129" t="str">
        <f t="shared" si="25"/>
        <v/>
      </c>
      <c r="Q806" s="128" t="s">
        <v>1968</v>
      </c>
      <c r="R806" s="128">
        <v>18.350000000000001</v>
      </c>
      <c r="S806" s="130"/>
      <c r="T806" s="130" t="s">
        <v>31</v>
      </c>
      <c r="U806" s="152"/>
    </row>
    <row r="807" spans="1:21" ht="15.75" thickBot="1">
      <c r="A807" s="45">
        <v>1256</v>
      </c>
      <c r="B807" s="123"/>
      <c r="C807" s="123"/>
      <c r="D807" s="123"/>
      <c r="E807" s="123"/>
      <c r="F807" s="123"/>
      <c r="G807" s="127" t="s">
        <v>210</v>
      </c>
      <c r="H807" s="128">
        <v>2001</v>
      </c>
      <c r="I807" s="128" t="s">
        <v>230</v>
      </c>
      <c r="J807" s="128">
        <f t="shared" si="24"/>
        <v>2</v>
      </c>
      <c r="K807" s="128" t="s">
        <v>1761</v>
      </c>
      <c r="L807" s="128" t="s">
        <v>30</v>
      </c>
      <c r="M807" s="129" t="s">
        <v>1065</v>
      </c>
      <c r="N807" s="129" t="s">
        <v>28</v>
      </c>
      <c r="O807" s="129"/>
      <c r="P807" s="129" t="str">
        <f t="shared" si="25"/>
        <v/>
      </c>
      <c r="Q807" s="138" t="s">
        <v>1969</v>
      </c>
      <c r="R807" s="128">
        <v>13.05</v>
      </c>
      <c r="S807" s="130"/>
      <c r="T807" s="130" t="s">
        <v>1069</v>
      </c>
      <c r="U807" s="152"/>
    </row>
    <row r="808" spans="1:21" ht="15.75" thickBot="1">
      <c r="A808" s="45">
        <v>1256</v>
      </c>
      <c r="B808" s="123"/>
      <c r="C808" s="123"/>
      <c r="D808" s="123"/>
      <c r="E808" s="123"/>
      <c r="F808" s="123"/>
      <c r="G808" s="127" t="s">
        <v>210</v>
      </c>
      <c r="H808" s="128">
        <v>2001</v>
      </c>
      <c r="I808" s="128" t="s">
        <v>230</v>
      </c>
      <c r="J808" s="128">
        <f t="shared" si="24"/>
        <v>2</v>
      </c>
      <c r="K808" s="128" t="s">
        <v>272</v>
      </c>
      <c r="L808" s="128" t="s">
        <v>40</v>
      </c>
      <c r="M808" s="129" t="s">
        <v>31</v>
      </c>
      <c r="N808" s="129" t="s">
        <v>32</v>
      </c>
      <c r="O808" s="129"/>
      <c r="P808" s="129" t="str">
        <f t="shared" si="25"/>
        <v/>
      </c>
      <c r="Q808" s="130"/>
      <c r="R808" s="128">
        <v>86.95</v>
      </c>
      <c r="S808" s="130"/>
      <c r="T808" s="130"/>
      <c r="U808" s="152"/>
    </row>
    <row r="809" spans="1:21" ht="15.75" hidden="1" thickBot="1">
      <c r="A809" s="45">
        <v>1250</v>
      </c>
      <c r="B809" s="123"/>
      <c r="C809" s="123"/>
      <c r="D809" s="123"/>
      <c r="E809" s="123"/>
      <c r="F809" s="123"/>
      <c r="G809" s="127" t="s">
        <v>210</v>
      </c>
      <c r="H809" s="128">
        <v>2002</v>
      </c>
      <c r="I809" s="128" t="s">
        <v>1834</v>
      </c>
      <c r="J809" s="128">
        <f t="shared" si="24"/>
        <v>4</v>
      </c>
      <c r="K809" s="128" t="s">
        <v>252</v>
      </c>
      <c r="L809" s="128" t="s">
        <v>30</v>
      </c>
      <c r="M809" s="129" t="s">
        <v>31</v>
      </c>
      <c r="N809" s="129" t="s">
        <v>32</v>
      </c>
      <c r="O809" s="129" t="s">
        <v>32</v>
      </c>
      <c r="P809" s="129" t="str">
        <f t="shared" si="25"/>
        <v>Y</v>
      </c>
      <c r="Q809" s="130"/>
      <c r="R809" s="128">
        <v>78.77</v>
      </c>
      <c r="S809" s="130"/>
      <c r="T809" s="130"/>
      <c r="U809" s="154"/>
    </row>
    <row r="810" spans="1:21" ht="15.75" hidden="1" thickBot="1">
      <c r="A810" s="45">
        <v>1250</v>
      </c>
      <c r="B810" s="123"/>
      <c r="C810" s="123"/>
      <c r="D810" s="123"/>
      <c r="E810" s="123"/>
      <c r="F810" s="123"/>
      <c r="G810" s="127" t="s">
        <v>210</v>
      </c>
      <c r="H810" s="128">
        <v>2002</v>
      </c>
      <c r="I810" s="128" t="s">
        <v>1834</v>
      </c>
      <c r="J810" s="128">
        <f t="shared" si="24"/>
        <v>4</v>
      </c>
      <c r="K810" s="128" t="s">
        <v>1890</v>
      </c>
      <c r="L810" s="128" t="s">
        <v>30</v>
      </c>
      <c r="M810" s="129" t="s">
        <v>31</v>
      </c>
      <c r="N810" s="129" t="s">
        <v>28</v>
      </c>
      <c r="O810" s="129" t="s">
        <v>28</v>
      </c>
      <c r="P810" s="129" t="str">
        <f t="shared" si="25"/>
        <v>N/A</v>
      </c>
      <c r="Q810" s="128" t="s">
        <v>1891</v>
      </c>
      <c r="R810" s="128">
        <v>1.05</v>
      </c>
      <c r="S810" s="130"/>
      <c r="T810" s="130"/>
      <c r="U810" s="154"/>
    </row>
    <row r="811" spans="1:21" ht="15.75" hidden="1" thickBot="1">
      <c r="A811" s="45">
        <v>1250</v>
      </c>
      <c r="B811" s="123"/>
      <c r="C811" s="123"/>
      <c r="D811" s="123"/>
      <c r="E811" s="123"/>
      <c r="F811" s="123"/>
      <c r="G811" s="127" t="s">
        <v>210</v>
      </c>
      <c r="H811" s="128">
        <v>2002</v>
      </c>
      <c r="I811" s="128" t="s">
        <v>1834</v>
      </c>
      <c r="J811" s="128">
        <f t="shared" si="24"/>
        <v>4</v>
      </c>
      <c r="K811" s="128" t="s">
        <v>1768</v>
      </c>
      <c r="L811" s="128" t="s">
        <v>30</v>
      </c>
      <c r="M811" s="129" t="s">
        <v>201</v>
      </c>
      <c r="N811" s="129" t="s">
        <v>28</v>
      </c>
      <c r="O811" s="129" t="s">
        <v>28</v>
      </c>
      <c r="P811" s="129" t="str">
        <f t="shared" si="25"/>
        <v>N/A</v>
      </c>
      <c r="Q811" s="128" t="s">
        <v>1970</v>
      </c>
      <c r="R811" s="128">
        <v>4.13</v>
      </c>
      <c r="S811" s="130"/>
      <c r="T811" s="130" t="s">
        <v>998</v>
      </c>
      <c r="U811" s="154"/>
    </row>
    <row r="812" spans="1:21" ht="15.75" hidden="1" thickBot="1">
      <c r="A812" s="45">
        <v>1250</v>
      </c>
      <c r="B812" s="123"/>
      <c r="C812" s="123"/>
      <c r="D812" s="123"/>
      <c r="E812" s="123"/>
      <c r="F812" s="123"/>
      <c r="G812" s="127" t="s">
        <v>210</v>
      </c>
      <c r="H812" s="128">
        <v>2002</v>
      </c>
      <c r="I812" s="128" t="s">
        <v>1834</v>
      </c>
      <c r="J812" s="128">
        <f t="shared" si="24"/>
        <v>4</v>
      </c>
      <c r="K812" s="128" t="s">
        <v>1971</v>
      </c>
      <c r="L812" s="128" t="s">
        <v>40</v>
      </c>
      <c r="M812" s="129" t="s">
        <v>31</v>
      </c>
      <c r="N812" s="129" t="s">
        <v>28</v>
      </c>
      <c r="O812" s="129" t="s">
        <v>28</v>
      </c>
      <c r="P812" s="129" t="str">
        <f t="shared" si="25"/>
        <v>N/A</v>
      </c>
      <c r="Q812" s="128" t="s">
        <v>1972</v>
      </c>
      <c r="R812" s="128">
        <v>15.81</v>
      </c>
      <c r="S812" s="130"/>
      <c r="T812" s="130" t="s">
        <v>31</v>
      </c>
      <c r="U812" s="154"/>
    </row>
    <row r="813" spans="1:21" ht="39" hidden="1" thickBot="1">
      <c r="A813" s="45">
        <v>1251</v>
      </c>
      <c r="B813" s="123"/>
      <c r="C813" s="123"/>
      <c r="D813" s="123"/>
      <c r="E813" s="123"/>
      <c r="F813" s="123"/>
      <c r="G813" s="127" t="s">
        <v>210</v>
      </c>
      <c r="H813" s="128">
        <v>2002</v>
      </c>
      <c r="I813" s="128" t="s">
        <v>1850</v>
      </c>
      <c r="J813" s="128">
        <f t="shared" si="24"/>
        <v>8</v>
      </c>
      <c r="K813" s="128" t="s">
        <v>1973</v>
      </c>
      <c r="L813" s="128" t="s">
        <v>30</v>
      </c>
      <c r="M813" s="129" t="s">
        <v>34</v>
      </c>
      <c r="N813" s="129" t="s">
        <v>28</v>
      </c>
      <c r="O813" s="129" t="s">
        <v>28</v>
      </c>
      <c r="P813" s="129" t="str">
        <f t="shared" si="25"/>
        <v>N/A</v>
      </c>
      <c r="Q813" s="128" t="s">
        <v>1974</v>
      </c>
      <c r="R813" s="128">
        <v>16.03</v>
      </c>
      <c r="S813" s="130"/>
      <c r="T813" s="130" t="s">
        <v>1975</v>
      </c>
      <c r="U813" s="154" t="s">
        <v>1976</v>
      </c>
    </row>
    <row r="814" spans="1:21" ht="15.75" hidden="1" thickBot="1">
      <c r="A814" s="45">
        <v>1251</v>
      </c>
      <c r="B814" s="123"/>
      <c r="C814" s="123"/>
      <c r="D814" s="123"/>
      <c r="E814" s="123"/>
      <c r="F814" s="123"/>
      <c r="G814" s="127" t="s">
        <v>210</v>
      </c>
      <c r="H814" s="128">
        <v>2002</v>
      </c>
      <c r="I814" s="128" t="s">
        <v>1850</v>
      </c>
      <c r="J814" s="128">
        <f t="shared" si="24"/>
        <v>8</v>
      </c>
      <c r="K814" s="128" t="s">
        <v>1977</v>
      </c>
      <c r="L814" s="128" t="s">
        <v>30</v>
      </c>
      <c r="M814" s="129" t="s">
        <v>31</v>
      </c>
      <c r="N814" s="129" t="s">
        <v>28</v>
      </c>
      <c r="O814" s="129" t="s">
        <v>28</v>
      </c>
      <c r="P814" s="129" t="str">
        <f t="shared" si="25"/>
        <v>N/A</v>
      </c>
      <c r="Q814" s="128" t="s">
        <v>1978</v>
      </c>
      <c r="R814" s="128">
        <v>6.93</v>
      </c>
      <c r="S814" s="130"/>
      <c r="T814" s="130" t="s">
        <v>31</v>
      </c>
      <c r="U814" s="154" t="s">
        <v>1979</v>
      </c>
    </row>
    <row r="815" spans="1:21" ht="15.75" hidden="1" thickBot="1">
      <c r="A815" s="45">
        <v>1251</v>
      </c>
      <c r="B815" s="123"/>
      <c r="C815" s="123"/>
      <c r="D815" s="123"/>
      <c r="E815" s="123"/>
      <c r="F815" s="123"/>
      <c r="G815" s="127" t="s">
        <v>210</v>
      </c>
      <c r="H815" s="128">
        <v>2002</v>
      </c>
      <c r="I815" s="128" t="s">
        <v>1850</v>
      </c>
      <c r="J815" s="128">
        <f t="shared" si="24"/>
        <v>8</v>
      </c>
      <c r="K815" s="128" t="s">
        <v>255</v>
      </c>
      <c r="L815" s="128" t="s">
        <v>30</v>
      </c>
      <c r="M815" s="129" t="s">
        <v>34</v>
      </c>
      <c r="N815" s="129" t="s">
        <v>28</v>
      </c>
      <c r="O815" s="129" t="s">
        <v>28</v>
      </c>
      <c r="P815" s="129" t="str">
        <f t="shared" si="25"/>
        <v>N/A</v>
      </c>
      <c r="Q815" s="130"/>
      <c r="R815" s="128">
        <v>16.12</v>
      </c>
      <c r="S815" s="130"/>
      <c r="T815" s="130"/>
      <c r="U815" s="154" t="s">
        <v>1980</v>
      </c>
    </row>
    <row r="816" spans="1:21" ht="15.75" hidden="1" thickBot="1">
      <c r="A816" s="45">
        <v>1251</v>
      </c>
      <c r="B816" s="123"/>
      <c r="C816" s="123"/>
      <c r="D816" s="123"/>
      <c r="E816" s="123"/>
      <c r="F816" s="123"/>
      <c r="G816" s="127" t="s">
        <v>210</v>
      </c>
      <c r="H816" s="128">
        <v>2002</v>
      </c>
      <c r="I816" s="128" t="s">
        <v>1850</v>
      </c>
      <c r="J816" s="128">
        <f t="shared" si="24"/>
        <v>8</v>
      </c>
      <c r="K816" s="128" t="s">
        <v>270</v>
      </c>
      <c r="L816" s="128" t="s">
        <v>40</v>
      </c>
      <c r="M816" s="129" t="s">
        <v>34</v>
      </c>
      <c r="N816" s="129" t="s">
        <v>32</v>
      </c>
      <c r="O816" s="129" t="s">
        <v>28</v>
      </c>
      <c r="P816" s="129" t="str">
        <f t="shared" si="25"/>
        <v>N/A</v>
      </c>
      <c r="Q816" s="132" t="s">
        <v>1981</v>
      </c>
      <c r="R816" s="128">
        <v>23.56</v>
      </c>
      <c r="S816" s="128">
        <v>56.19</v>
      </c>
      <c r="T816" s="130" t="s">
        <v>998</v>
      </c>
      <c r="U816" s="154"/>
    </row>
    <row r="817" spans="1:21" ht="15.75" hidden="1" thickBot="1">
      <c r="A817" s="45">
        <v>1251</v>
      </c>
      <c r="B817" s="123"/>
      <c r="C817" s="123"/>
      <c r="D817" s="123"/>
      <c r="E817" s="123"/>
      <c r="F817" s="123"/>
      <c r="G817" s="127" t="s">
        <v>210</v>
      </c>
      <c r="H817" s="128">
        <v>2002</v>
      </c>
      <c r="I817" s="128" t="s">
        <v>1850</v>
      </c>
      <c r="J817" s="128">
        <f t="shared" si="24"/>
        <v>8</v>
      </c>
      <c r="K817" s="128" t="s">
        <v>1743</v>
      </c>
      <c r="L817" s="128" t="s">
        <v>30</v>
      </c>
      <c r="M817" s="129" t="s">
        <v>31</v>
      </c>
      <c r="N817" s="129" t="s">
        <v>28</v>
      </c>
      <c r="O817" s="129" t="s">
        <v>28</v>
      </c>
      <c r="P817" s="129" t="str">
        <f t="shared" si="25"/>
        <v>N/A</v>
      </c>
      <c r="Q817" s="128" t="s">
        <v>1978</v>
      </c>
      <c r="R817" s="128">
        <v>8.42</v>
      </c>
      <c r="S817" s="130"/>
      <c r="T817" s="130" t="s">
        <v>31</v>
      </c>
      <c r="U817" s="154"/>
    </row>
    <row r="818" spans="1:21" ht="15.75" hidden="1" thickBot="1">
      <c r="A818" s="45">
        <v>1251</v>
      </c>
      <c r="B818" s="123"/>
      <c r="C818" s="123"/>
      <c r="D818" s="123"/>
      <c r="E818" s="123"/>
      <c r="F818" s="123"/>
      <c r="G818" s="127" t="s">
        <v>210</v>
      </c>
      <c r="H818" s="128">
        <v>2002</v>
      </c>
      <c r="I818" s="128" t="s">
        <v>1850</v>
      </c>
      <c r="J818" s="128">
        <f t="shared" si="24"/>
        <v>8</v>
      </c>
      <c r="K818" s="128" t="s">
        <v>1982</v>
      </c>
      <c r="L818" s="128" t="s">
        <v>40</v>
      </c>
      <c r="M818" s="129" t="s">
        <v>1003</v>
      </c>
      <c r="N818" s="129" t="s">
        <v>28</v>
      </c>
      <c r="O818" s="129" t="s">
        <v>28</v>
      </c>
      <c r="P818" s="129" t="str">
        <f t="shared" si="25"/>
        <v>N/A</v>
      </c>
      <c r="Q818" s="132" t="s">
        <v>1983</v>
      </c>
      <c r="R818" s="128">
        <v>2.17</v>
      </c>
      <c r="S818" s="130"/>
      <c r="T818" s="130"/>
      <c r="U818" s="154"/>
    </row>
    <row r="819" spans="1:21" ht="15.75" hidden="1" thickBot="1">
      <c r="A819" s="45">
        <v>1251</v>
      </c>
      <c r="B819" s="123"/>
      <c r="C819" s="123"/>
      <c r="D819" s="123"/>
      <c r="E819" s="123"/>
      <c r="F819" s="123"/>
      <c r="G819" s="127" t="s">
        <v>210</v>
      </c>
      <c r="H819" s="128">
        <v>2002</v>
      </c>
      <c r="I819" s="128" t="s">
        <v>1850</v>
      </c>
      <c r="J819" s="128">
        <f t="shared" si="24"/>
        <v>8</v>
      </c>
      <c r="K819" s="128" t="s">
        <v>1984</v>
      </c>
      <c r="L819" s="128" t="s">
        <v>30</v>
      </c>
      <c r="M819" s="129" t="s">
        <v>34</v>
      </c>
      <c r="N819" s="129" t="s">
        <v>28</v>
      </c>
      <c r="O819" s="129" t="s">
        <v>28</v>
      </c>
      <c r="P819" s="129" t="str">
        <f t="shared" si="25"/>
        <v>N/A</v>
      </c>
      <c r="Q819" s="128" t="s">
        <v>1985</v>
      </c>
      <c r="R819" s="128">
        <v>3.73</v>
      </c>
      <c r="S819" s="130"/>
      <c r="T819" s="130" t="s">
        <v>1069</v>
      </c>
      <c r="U819" s="154"/>
    </row>
    <row r="820" spans="1:21" ht="15.75" hidden="1" thickBot="1">
      <c r="A820" s="45">
        <v>1251</v>
      </c>
      <c r="B820" s="123"/>
      <c r="C820" s="123"/>
      <c r="D820" s="123"/>
      <c r="E820" s="123"/>
      <c r="F820" s="123"/>
      <c r="G820" s="127" t="s">
        <v>210</v>
      </c>
      <c r="H820" s="128">
        <v>2002</v>
      </c>
      <c r="I820" s="128" t="s">
        <v>1850</v>
      </c>
      <c r="J820" s="128">
        <f t="shared" si="24"/>
        <v>8</v>
      </c>
      <c r="K820" s="128" t="s">
        <v>1856</v>
      </c>
      <c r="L820" s="128" t="s">
        <v>30</v>
      </c>
      <c r="M820" s="129" t="s">
        <v>1013</v>
      </c>
      <c r="N820" s="129" t="s">
        <v>28</v>
      </c>
      <c r="O820" s="129" t="s">
        <v>28</v>
      </c>
      <c r="P820" s="129" t="str">
        <f t="shared" si="25"/>
        <v>N/A</v>
      </c>
      <c r="Q820" s="130"/>
      <c r="R820" s="128">
        <v>22.93</v>
      </c>
      <c r="S820" s="128">
        <v>43.81</v>
      </c>
      <c r="T820" s="130"/>
      <c r="U820" s="154"/>
    </row>
    <row r="821" spans="1:21" ht="15.75" hidden="1" thickBot="1">
      <c r="A821" s="45">
        <v>1252</v>
      </c>
      <c r="B821" s="123"/>
      <c r="C821" s="123"/>
      <c r="D821" s="123"/>
      <c r="E821" s="123"/>
      <c r="F821" s="123"/>
      <c r="G821" s="127" t="s">
        <v>210</v>
      </c>
      <c r="H821" s="128">
        <v>2002</v>
      </c>
      <c r="I821" s="128" t="s">
        <v>1878</v>
      </c>
      <c r="J821" s="128">
        <f t="shared" si="24"/>
        <v>9</v>
      </c>
      <c r="K821" s="128" t="s">
        <v>1757</v>
      </c>
      <c r="L821" s="128" t="s">
        <v>30</v>
      </c>
      <c r="M821" s="129" t="s">
        <v>201</v>
      </c>
      <c r="N821" s="129" t="s">
        <v>28</v>
      </c>
      <c r="O821" s="129" t="s">
        <v>28</v>
      </c>
      <c r="P821" s="129" t="str">
        <f t="shared" si="25"/>
        <v>N/A</v>
      </c>
      <c r="Q821" s="128" t="s">
        <v>1710</v>
      </c>
      <c r="R821" s="128">
        <v>2.64</v>
      </c>
      <c r="S821" s="130"/>
      <c r="T821" s="130" t="s">
        <v>998</v>
      </c>
      <c r="U821" s="154" t="s">
        <v>1986</v>
      </c>
    </row>
    <row r="822" spans="1:21" ht="15.75" hidden="1" thickBot="1">
      <c r="A822" s="45">
        <v>1252</v>
      </c>
      <c r="B822" s="123"/>
      <c r="C822" s="123"/>
      <c r="D822" s="123"/>
      <c r="E822" s="123"/>
      <c r="F822" s="123"/>
      <c r="G822" s="127" t="s">
        <v>210</v>
      </c>
      <c r="H822" s="128">
        <v>2002</v>
      </c>
      <c r="I822" s="128" t="s">
        <v>1878</v>
      </c>
      <c r="J822" s="128">
        <f t="shared" si="24"/>
        <v>9</v>
      </c>
      <c r="K822" s="128" t="s">
        <v>1987</v>
      </c>
      <c r="L822" s="128" t="s">
        <v>30</v>
      </c>
      <c r="M822" s="129" t="s">
        <v>31</v>
      </c>
      <c r="N822" s="129" t="s">
        <v>28</v>
      </c>
      <c r="O822" s="129" t="s">
        <v>28</v>
      </c>
      <c r="P822" s="129" t="str">
        <f t="shared" si="25"/>
        <v>N/A</v>
      </c>
      <c r="Q822" s="128" t="s">
        <v>1988</v>
      </c>
      <c r="R822" s="128">
        <v>14.61</v>
      </c>
      <c r="S822" s="130"/>
      <c r="T822" s="130" t="s">
        <v>31</v>
      </c>
      <c r="U822" s="154" t="s">
        <v>1986</v>
      </c>
    </row>
    <row r="823" spans="1:21" ht="15.75" hidden="1" thickBot="1">
      <c r="A823" s="45">
        <v>1252</v>
      </c>
      <c r="B823" s="123"/>
      <c r="C823" s="123"/>
      <c r="D823" s="123"/>
      <c r="E823" s="123"/>
      <c r="F823" s="123"/>
      <c r="G823" s="127" t="s">
        <v>210</v>
      </c>
      <c r="H823" s="128">
        <v>2002</v>
      </c>
      <c r="I823" s="128" t="s">
        <v>1878</v>
      </c>
      <c r="J823" s="128">
        <f t="shared" si="24"/>
        <v>9</v>
      </c>
      <c r="K823" s="128" t="s">
        <v>256</v>
      </c>
      <c r="L823" s="128" t="s">
        <v>30</v>
      </c>
      <c r="M823" s="129" t="s">
        <v>31</v>
      </c>
      <c r="N823" s="129" t="s">
        <v>32</v>
      </c>
      <c r="O823" s="129" t="s">
        <v>32</v>
      </c>
      <c r="P823" s="129" t="str">
        <f t="shared" si="25"/>
        <v>Y</v>
      </c>
      <c r="Q823" s="130"/>
      <c r="R823" s="128">
        <v>51.21</v>
      </c>
      <c r="S823" s="130"/>
      <c r="T823" s="130"/>
      <c r="U823" s="154"/>
    </row>
    <row r="824" spans="1:21" ht="15.75" hidden="1" thickBot="1">
      <c r="A824" s="45">
        <v>1252</v>
      </c>
      <c r="B824" s="123"/>
      <c r="C824" s="123"/>
      <c r="D824" s="123"/>
      <c r="E824" s="123"/>
      <c r="F824" s="123"/>
      <c r="G824" s="127" t="s">
        <v>210</v>
      </c>
      <c r="H824" s="128">
        <v>2002</v>
      </c>
      <c r="I824" s="128" t="s">
        <v>1878</v>
      </c>
      <c r="J824" s="128">
        <f t="shared" si="24"/>
        <v>9</v>
      </c>
      <c r="K824" s="128" t="s">
        <v>1989</v>
      </c>
      <c r="L824" s="128" t="s">
        <v>30</v>
      </c>
      <c r="M824" s="129" t="s">
        <v>1003</v>
      </c>
      <c r="N824" s="129" t="s">
        <v>28</v>
      </c>
      <c r="O824" s="129" t="s">
        <v>28</v>
      </c>
      <c r="P824" s="129" t="str">
        <f t="shared" si="25"/>
        <v>N/A</v>
      </c>
      <c r="Q824" s="128" t="s">
        <v>1004</v>
      </c>
      <c r="R824" s="128">
        <v>2.11</v>
      </c>
      <c r="S824" s="130"/>
      <c r="T824" s="130"/>
      <c r="U824" s="154"/>
    </row>
    <row r="825" spans="1:21" ht="15.75" hidden="1" thickBot="1">
      <c r="A825" s="45">
        <v>1252</v>
      </c>
      <c r="B825" s="123"/>
      <c r="C825" s="123"/>
      <c r="D825" s="123"/>
      <c r="E825" s="123"/>
      <c r="F825" s="123"/>
      <c r="G825" s="127" t="s">
        <v>210</v>
      </c>
      <c r="H825" s="128">
        <v>2002</v>
      </c>
      <c r="I825" s="128" t="s">
        <v>1878</v>
      </c>
      <c r="J825" s="128">
        <f t="shared" si="24"/>
        <v>9</v>
      </c>
      <c r="K825" s="128" t="s">
        <v>1894</v>
      </c>
      <c r="L825" s="128" t="s">
        <v>30</v>
      </c>
      <c r="M825" s="129" t="s">
        <v>31</v>
      </c>
      <c r="N825" s="129" t="s">
        <v>28</v>
      </c>
      <c r="O825" s="129" t="s">
        <v>28</v>
      </c>
      <c r="P825" s="129" t="str">
        <f t="shared" si="25"/>
        <v>N/A</v>
      </c>
      <c r="Q825" s="128" t="s">
        <v>1895</v>
      </c>
      <c r="R825" s="128">
        <v>1.41</v>
      </c>
      <c r="S825" s="130"/>
      <c r="T825" s="130" t="s">
        <v>31</v>
      </c>
      <c r="U825" s="154" t="s">
        <v>1986</v>
      </c>
    </row>
    <row r="826" spans="1:21" ht="15.75" hidden="1" thickBot="1">
      <c r="A826" s="45">
        <v>1252</v>
      </c>
      <c r="B826" s="123"/>
      <c r="C826" s="123"/>
      <c r="D826" s="123"/>
      <c r="E826" s="123"/>
      <c r="F826" s="123"/>
      <c r="G826" s="127" t="s">
        <v>210</v>
      </c>
      <c r="H826" s="128">
        <v>2002</v>
      </c>
      <c r="I826" s="128" t="s">
        <v>1878</v>
      </c>
      <c r="J826" s="128">
        <f t="shared" si="24"/>
        <v>9</v>
      </c>
      <c r="K826" s="128" t="s">
        <v>1990</v>
      </c>
      <c r="L826" s="128" t="s">
        <v>30</v>
      </c>
      <c r="M826" s="129" t="s">
        <v>1003</v>
      </c>
      <c r="N826" s="129" t="s">
        <v>28</v>
      </c>
      <c r="O826" s="129" t="s">
        <v>28</v>
      </c>
      <c r="P826" s="129" t="str">
        <f t="shared" si="25"/>
        <v>N/A</v>
      </c>
      <c r="Q826" s="132" t="s">
        <v>1991</v>
      </c>
      <c r="R826" s="128">
        <v>2.34</v>
      </c>
      <c r="S826" s="130"/>
      <c r="T826" s="130"/>
      <c r="U826" s="154"/>
    </row>
    <row r="827" spans="1:21" ht="15.75" hidden="1" thickBot="1">
      <c r="A827" s="45">
        <v>1252</v>
      </c>
      <c r="B827" s="123"/>
      <c r="C827" s="123"/>
      <c r="D827" s="123"/>
      <c r="E827" s="123"/>
      <c r="F827" s="123"/>
      <c r="G827" s="127" t="s">
        <v>210</v>
      </c>
      <c r="H827" s="128">
        <v>2002</v>
      </c>
      <c r="I827" s="128" t="s">
        <v>1878</v>
      </c>
      <c r="J827" s="128">
        <f t="shared" si="24"/>
        <v>9</v>
      </c>
      <c r="K827" s="128" t="s">
        <v>1992</v>
      </c>
      <c r="L827" s="128" t="s">
        <v>30</v>
      </c>
      <c r="M827" s="129" t="s">
        <v>31</v>
      </c>
      <c r="N827" s="129" t="s">
        <v>28</v>
      </c>
      <c r="O827" s="129" t="s">
        <v>28</v>
      </c>
      <c r="P827" s="129" t="str">
        <f t="shared" si="25"/>
        <v>N/A</v>
      </c>
      <c r="Q827" s="128" t="s">
        <v>1993</v>
      </c>
      <c r="R827" s="128">
        <v>9.61</v>
      </c>
      <c r="S827" s="130"/>
      <c r="T827" s="130" t="s">
        <v>31</v>
      </c>
      <c r="U827" s="154" t="s">
        <v>1986</v>
      </c>
    </row>
    <row r="828" spans="1:21" ht="15.75" hidden="1" thickBot="1">
      <c r="A828" s="45">
        <v>1252</v>
      </c>
      <c r="B828" s="123"/>
      <c r="C828" s="123"/>
      <c r="D828" s="123"/>
      <c r="E828" s="123"/>
      <c r="F828" s="123"/>
      <c r="G828" s="127" t="s">
        <v>210</v>
      </c>
      <c r="H828" s="128">
        <v>2002</v>
      </c>
      <c r="I828" s="128" t="s">
        <v>1878</v>
      </c>
      <c r="J828" s="128">
        <f t="shared" si="24"/>
        <v>9</v>
      </c>
      <c r="K828" s="128" t="s">
        <v>1994</v>
      </c>
      <c r="L828" s="128" t="s">
        <v>30</v>
      </c>
      <c r="M828" s="129" t="s">
        <v>31</v>
      </c>
      <c r="N828" s="129" t="s">
        <v>28</v>
      </c>
      <c r="O828" s="129" t="s">
        <v>28</v>
      </c>
      <c r="P828" s="129" t="str">
        <f t="shared" si="25"/>
        <v>N/A</v>
      </c>
      <c r="Q828" s="128" t="s">
        <v>1995</v>
      </c>
      <c r="R828" s="128">
        <v>1.53</v>
      </c>
      <c r="S828" s="130"/>
      <c r="T828" s="130" t="s">
        <v>31</v>
      </c>
      <c r="U828" s="154" t="s">
        <v>1986</v>
      </c>
    </row>
    <row r="829" spans="1:21" ht="15.75" hidden="1" thickBot="1">
      <c r="A829" s="45">
        <v>1252</v>
      </c>
      <c r="B829" s="123"/>
      <c r="C829" s="123"/>
      <c r="D829" s="123"/>
      <c r="E829" s="123"/>
      <c r="F829" s="123"/>
      <c r="G829" s="127" t="s">
        <v>210</v>
      </c>
      <c r="H829" s="128">
        <v>2002</v>
      </c>
      <c r="I829" s="128" t="s">
        <v>1878</v>
      </c>
      <c r="J829" s="128">
        <f t="shared" si="24"/>
        <v>9</v>
      </c>
      <c r="K829" s="128" t="s">
        <v>1996</v>
      </c>
      <c r="L829" s="128" t="s">
        <v>30</v>
      </c>
      <c r="M829" s="129" t="s">
        <v>201</v>
      </c>
      <c r="N829" s="129" t="s">
        <v>28</v>
      </c>
      <c r="O829" s="129" t="s">
        <v>28</v>
      </c>
      <c r="P829" s="129" t="str">
        <f t="shared" si="25"/>
        <v>N/A</v>
      </c>
      <c r="Q829" s="128" t="s">
        <v>1997</v>
      </c>
      <c r="R829" s="128">
        <v>14.33</v>
      </c>
      <c r="S829" s="130"/>
      <c r="T829" s="130" t="s">
        <v>998</v>
      </c>
      <c r="U829" s="154" t="s">
        <v>1986</v>
      </c>
    </row>
    <row r="830" spans="1:21" ht="15.75" hidden="1" thickBot="1">
      <c r="A830" s="45">
        <v>1253</v>
      </c>
      <c r="B830" s="123"/>
      <c r="C830" s="123"/>
      <c r="D830" s="123"/>
      <c r="E830" s="123"/>
      <c r="F830" s="123"/>
      <c r="G830" s="127" t="s">
        <v>210</v>
      </c>
      <c r="H830" s="128">
        <v>2002</v>
      </c>
      <c r="I830" s="128" t="s">
        <v>1913</v>
      </c>
      <c r="J830" s="128">
        <f t="shared" si="24"/>
        <v>6</v>
      </c>
      <c r="K830" s="128" t="s">
        <v>257</v>
      </c>
      <c r="L830" s="128" t="s">
        <v>30</v>
      </c>
      <c r="M830" s="129" t="s">
        <v>31</v>
      </c>
      <c r="N830" s="129" t="s">
        <v>32</v>
      </c>
      <c r="O830" s="129" t="s">
        <v>28</v>
      </c>
      <c r="P830" s="129" t="str">
        <f t="shared" si="25"/>
        <v>N/A</v>
      </c>
      <c r="Q830" s="130"/>
      <c r="R830" s="128">
        <v>32.450000000000003</v>
      </c>
      <c r="S830" s="128">
        <v>52.61</v>
      </c>
      <c r="T830" s="130"/>
      <c r="U830" s="154" t="s">
        <v>1998</v>
      </c>
    </row>
    <row r="831" spans="1:21" ht="15.75" hidden="1" thickBot="1">
      <c r="A831" s="45">
        <v>1253</v>
      </c>
      <c r="B831" s="123"/>
      <c r="C831" s="123"/>
      <c r="D831" s="123"/>
      <c r="E831" s="123"/>
      <c r="F831" s="123"/>
      <c r="G831" s="127" t="s">
        <v>210</v>
      </c>
      <c r="H831" s="128">
        <v>2002</v>
      </c>
      <c r="I831" s="128" t="s">
        <v>1913</v>
      </c>
      <c r="J831" s="128">
        <f t="shared" si="24"/>
        <v>6</v>
      </c>
      <c r="K831" s="128" t="s">
        <v>1914</v>
      </c>
      <c r="L831" s="128" t="s">
        <v>40</v>
      </c>
      <c r="M831" s="129" t="s">
        <v>31</v>
      </c>
      <c r="N831" s="129" t="s">
        <v>28</v>
      </c>
      <c r="O831" s="129" t="s">
        <v>28</v>
      </c>
      <c r="P831" s="129" t="str">
        <f t="shared" si="25"/>
        <v>N/A</v>
      </c>
      <c r="Q831" s="128" t="s">
        <v>1915</v>
      </c>
      <c r="R831" s="128">
        <v>36.229999999999997</v>
      </c>
      <c r="S831" s="128">
        <v>47.39</v>
      </c>
      <c r="T831" s="130" t="s">
        <v>31</v>
      </c>
      <c r="U831" s="154" t="s">
        <v>1998</v>
      </c>
    </row>
    <row r="832" spans="1:21" ht="15.75" hidden="1" thickBot="1">
      <c r="A832" s="45">
        <v>1253</v>
      </c>
      <c r="B832" s="123"/>
      <c r="C832" s="123"/>
      <c r="D832" s="123"/>
      <c r="E832" s="123"/>
      <c r="F832" s="123"/>
      <c r="G832" s="127" t="s">
        <v>210</v>
      </c>
      <c r="H832" s="128">
        <v>2002</v>
      </c>
      <c r="I832" s="128" t="s">
        <v>1913</v>
      </c>
      <c r="J832" s="128">
        <f t="shared" si="24"/>
        <v>6</v>
      </c>
      <c r="K832" s="128" t="s">
        <v>1918</v>
      </c>
      <c r="L832" s="128" t="s">
        <v>30</v>
      </c>
      <c r="M832" s="129" t="s">
        <v>31</v>
      </c>
      <c r="N832" s="129" t="s">
        <v>28</v>
      </c>
      <c r="O832" s="129" t="s">
        <v>28</v>
      </c>
      <c r="P832" s="129" t="str">
        <f t="shared" si="25"/>
        <v>N/A</v>
      </c>
      <c r="Q832" s="128" t="s">
        <v>1999</v>
      </c>
      <c r="R832" s="128">
        <v>7</v>
      </c>
      <c r="S832" s="130"/>
      <c r="T832" s="130" t="s">
        <v>31</v>
      </c>
      <c r="U832" s="154"/>
    </row>
    <row r="833" spans="1:21" ht="15.75" hidden="1" thickBot="1">
      <c r="A833" s="45">
        <v>1253</v>
      </c>
      <c r="B833" s="123"/>
      <c r="C833" s="123"/>
      <c r="D833" s="123"/>
      <c r="E833" s="123"/>
      <c r="F833" s="123"/>
      <c r="G833" s="127" t="s">
        <v>210</v>
      </c>
      <c r="H833" s="128">
        <v>2002</v>
      </c>
      <c r="I833" s="128" t="s">
        <v>1913</v>
      </c>
      <c r="J833" s="128">
        <f t="shared" si="24"/>
        <v>6</v>
      </c>
      <c r="K833" s="128" t="s">
        <v>1782</v>
      </c>
      <c r="L833" s="128" t="s">
        <v>30</v>
      </c>
      <c r="M833" s="129" t="s">
        <v>31</v>
      </c>
      <c r="N833" s="129" t="s">
        <v>28</v>
      </c>
      <c r="O833" s="129" t="s">
        <v>28</v>
      </c>
      <c r="P833" s="129" t="str">
        <f t="shared" si="25"/>
        <v>N/A</v>
      </c>
      <c r="Q833" s="128" t="s">
        <v>1921</v>
      </c>
      <c r="R833" s="128">
        <v>1.79</v>
      </c>
      <c r="S833" s="130"/>
      <c r="T833" s="130" t="s">
        <v>31</v>
      </c>
      <c r="U833" s="154"/>
    </row>
    <row r="834" spans="1:21" ht="15.75" hidden="1" thickBot="1">
      <c r="A834" s="45">
        <v>1253</v>
      </c>
      <c r="B834" s="123"/>
      <c r="C834" s="123"/>
      <c r="D834" s="123"/>
      <c r="E834" s="123"/>
      <c r="F834" s="123"/>
      <c r="G834" s="127" t="s">
        <v>210</v>
      </c>
      <c r="H834" s="128">
        <v>2002</v>
      </c>
      <c r="I834" s="128" t="s">
        <v>1913</v>
      </c>
      <c r="J834" s="128">
        <f t="shared" ref="J834:J897" si="26">COUNTIF(A$2:A$2215, A834)</f>
        <v>6</v>
      </c>
      <c r="K834" s="128" t="s">
        <v>2000</v>
      </c>
      <c r="L834" s="128" t="s">
        <v>30</v>
      </c>
      <c r="M834" s="129" t="s">
        <v>31</v>
      </c>
      <c r="N834" s="129" t="s">
        <v>28</v>
      </c>
      <c r="O834" s="129" t="s">
        <v>28</v>
      </c>
      <c r="P834" s="129" t="str">
        <f t="shared" si="25"/>
        <v>N/A</v>
      </c>
      <c r="Q834" s="130"/>
      <c r="R834" s="128">
        <v>3.04</v>
      </c>
      <c r="S834" s="130"/>
      <c r="T834" s="130"/>
      <c r="U834" s="154"/>
    </row>
    <row r="835" spans="1:21" ht="15.75" hidden="1" thickBot="1">
      <c r="A835" s="45">
        <v>1253</v>
      </c>
      <c r="B835" s="123"/>
      <c r="C835" s="123"/>
      <c r="D835" s="123"/>
      <c r="E835" s="123"/>
      <c r="F835" s="123"/>
      <c r="G835" s="127" t="s">
        <v>210</v>
      </c>
      <c r="H835" s="128">
        <v>2002</v>
      </c>
      <c r="I835" s="128" t="s">
        <v>1913</v>
      </c>
      <c r="J835" s="128">
        <f t="shared" si="26"/>
        <v>6</v>
      </c>
      <c r="K835" s="128" t="s">
        <v>2001</v>
      </c>
      <c r="L835" s="128" t="s">
        <v>30</v>
      </c>
      <c r="M835" s="129" t="s">
        <v>31</v>
      </c>
      <c r="N835" s="129" t="s">
        <v>28</v>
      </c>
      <c r="O835" s="129" t="s">
        <v>28</v>
      </c>
      <c r="P835" s="129" t="str">
        <f t="shared" ref="P835:P898" si="27">IF(O835="N", "N/A", IF(AND(N835="N",  O835="Y"), "N", IF(AND(O835="Y", N835="Y"), "Y", "")))</f>
        <v>N/A</v>
      </c>
      <c r="Q835" s="128" t="s">
        <v>2002</v>
      </c>
      <c r="R835" s="128">
        <v>19.260000000000002</v>
      </c>
      <c r="S835" s="130"/>
      <c r="T835" s="130" t="s">
        <v>31</v>
      </c>
      <c r="U835" s="154" t="s">
        <v>2002</v>
      </c>
    </row>
    <row r="836" spans="1:21" ht="15.75" hidden="1" thickBot="1">
      <c r="A836" s="45">
        <v>1254</v>
      </c>
      <c r="B836" s="123"/>
      <c r="C836" s="123"/>
      <c r="D836" s="123"/>
      <c r="E836" s="123"/>
      <c r="F836" s="123"/>
      <c r="G836" s="127" t="s">
        <v>210</v>
      </c>
      <c r="H836" s="128">
        <v>2002</v>
      </c>
      <c r="I836" s="128" t="s">
        <v>1926</v>
      </c>
      <c r="J836" s="128">
        <f t="shared" si="26"/>
        <v>1</v>
      </c>
      <c r="K836" s="128" t="s">
        <v>258</v>
      </c>
      <c r="L836" s="128" t="s">
        <v>40</v>
      </c>
      <c r="M836" s="129" t="s">
        <v>1932</v>
      </c>
      <c r="N836" s="129" t="s">
        <v>32</v>
      </c>
      <c r="O836" s="129" t="s">
        <v>32</v>
      </c>
      <c r="P836" s="129" t="str">
        <f t="shared" si="27"/>
        <v>Y</v>
      </c>
      <c r="Q836" s="130"/>
      <c r="R836" s="128">
        <v>97.45</v>
      </c>
      <c r="S836" s="130"/>
      <c r="T836" s="130"/>
      <c r="U836" s="154"/>
    </row>
    <row r="837" spans="1:21" ht="45.75" thickBot="1">
      <c r="A837" s="45">
        <v>1245</v>
      </c>
      <c r="B837" s="123"/>
      <c r="C837" s="123"/>
      <c r="D837" s="123"/>
      <c r="E837" s="123"/>
      <c r="F837" s="123"/>
      <c r="G837" s="127" t="s">
        <v>210</v>
      </c>
      <c r="H837" s="128">
        <v>2003</v>
      </c>
      <c r="I837" s="128" t="s">
        <v>1748</v>
      </c>
      <c r="J837" s="128">
        <f t="shared" si="26"/>
        <v>3</v>
      </c>
      <c r="K837" s="128" t="s">
        <v>1751</v>
      </c>
      <c r="L837" s="128" t="s">
        <v>30</v>
      </c>
      <c r="M837" s="149" t="s">
        <v>1752</v>
      </c>
      <c r="N837" s="129" t="s">
        <v>28</v>
      </c>
      <c r="O837" s="149"/>
      <c r="P837" s="129" t="str">
        <f t="shared" si="27"/>
        <v/>
      </c>
      <c r="Q837" s="132" t="s">
        <v>2003</v>
      </c>
      <c r="R837" s="128">
        <v>30.39</v>
      </c>
      <c r="S837" s="130"/>
      <c r="T837" s="130"/>
      <c r="U837" s="152"/>
    </row>
    <row r="838" spans="1:21" ht="15.75" thickBot="1">
      <c r="A838" s="45">
        <v>1245</v>
      </c>
      <c r="B838" s="123"/>
      <c r="C838" s="123"/>
      <c r="D838" s="123"/>
      <c r="E838" s="123"/>
      <c r="F838" s="123"/>
      <c r="G838" s="127" t="s">
        <v>210</v>
      </c>
      <c r="H838" s="128">
        <v>2003</v>
      </c>
      <c r="I838" s="128" t="s">
        <v>1748</v>
      </c>
      <c r="J838" s="128">
        <f t="shared" si="26"/>
        <v>3</v>
      </c>
      <c r="K838" s="128" t="s">
        <v>251</v>
      </c>
      <c r="L838" s="128" t="s">
        <v>40</v>
      </c>
      <c r="M838" s="129" t="s">
        <v>201</v>
      </c>
      <c r="N838" s="129" t="s">
        <v>32</v>
      </c>
      <c r="O838" s="129"/>
      <c r="P838" s="129" t="str">
        <f t="shared" si="27"/>
        <v/>
      </c>
      <c r="Q838" s="130"/>
      <c r="R838" s="128">
        <v>33.65</v>
      </c>
      <c r="S838" s="128">
        <v>56.49</v>
      </c>
      <c r="T838" s="130"/>
      <c r="U838" s="152"/>
    </row>
    <row r="839" spans="1:21" ht="15.75" thickBot="1">
      <c r="A839" s="45">
        <v>1245</v>
      </c>
      <c r="B839" s="123"/>
      <c r="C839" s="123"/>
      <c r="D839" s="123"/>
      <c r="E839" s="123"/>
      <c r="F839" s="123"/>
      <c r="G839" s="127" t="s">
        <v>210</v>
      </c>
      <c r="H839" s="128">
        <v>2003</v>
      </c>
      <c r="I839" s="128" t="s">
        <v>1748</v>
      </c>
      <c r="J839" s="128">
        <f t="shared" si="26"/>
        <v>3</v>
      </c>
      <c r="K839" s="128" t="s">
        <v>1753</v>
      </c>
      <c r="L839" s="128" t="s">
        <v>30</v>
      </c>
      <c r="M839" s="129" t="s">
        <v>31</v>
      </c>
      <c r="N839" s="129" t="s">
        <v>28</v>
      </c>
      <c r="O839" s="129"/>
      <c r="P839" s="129" t="str">
        <f t="shared" si="27"/>
        <v/>
      </c>
      <c r="Q839" s="128" t="s">
        <v>2004</v>
      </c>
      <c r="R839" s="128">
        <v>35.85</v>
      </c>
      <c r="S839" s="128">
        <v>43.51</v>
      </c>
      <c r="T839" s="130" t="s">
        <v>31</v>
      </c>
      <c r="U839" s="152"/>
    </row>
    <row r="840" spans="1:21" ht="15.75" hidden="1" thickBot="1">
      <c r="A840" s="45">
        <v>1246</v>
      </c>
      <c r="B840" s="123"/>
      <c r="C840" s="123"/>
      <c r="D840" s="123"/>
      <c r="E840" s="123"/>
      <c r="F840" s="123"/>
      <c r="G840" s="127" t="s">
        <v>210</v>
      </c>
      <c r="H840" s="128">
        <v>2003</v>
      </c>
      <c r="I840" s="128" t="s">
        <v>38</v>
      </c>
      <c r="J840" s="128">
        <f t="shared" si="26"/>
        <v>9</v>
      </c>
      <c r="K840" s="128" t="s">
        <v>1666</v>
      </c>
      <c r="L840" s="128" t="s">
        <v>40</v>
      </c>
      <c r="M840" s="129" t="s">
        <v>31</v>
      </c>
      <c r="N840" s="129" t="s">
        <v>28</v>
      </c>
      <c r="O840" s="129" t="s">
        <v>28</v>
      </c>
      <c r="P840" s="129" t="str">
        <f t="shared" si="27"/>
        <v>N/A</v>
      </c>
      <c r="Q840" s="132" t="s">
        <v>2005</v>
      </c>
      <c r="R840" s="128">
        <v>16.079999999999998</v>
      </c>
      <c r="S840" s="130"/>
      <c r="T840" s="130" t="s">
        <v>31</v>
      </c>
      <c r="U840" s="154"/>
    </row>
    <row r="841" spans="1:21" ht="15.75" hidden="1" thickBot="1">
      <c r="A841" s="45">
        <v>1246</v>
      </c>
      <c r="B841" s="123"/>
      <c r="C841" s="123"/>
      <c r="D841" s="123"/>
      <c r="E841" s="123"/>
      <c r="F841" s="123"/>
      <c r="G841" s="127" t="s">
        <v>210</v>
      </c>
      <c r="H841" s="128">
        <v>2003</v>
      </c>
      <c r="I841" s="128" t="s">
        <v>38</v>
      </c>
      <c r="J841" s="128">
        <f t="shared" si="26"/>
        <v>9</v>
      </c>
      <c r="K841" s="128" t="s">
        <v>252</v>
      </c>
      <c r="L841" s="128" t="s">
        <v>30</v>
      </c>
      <c r="M841" s="129" t="s">
        <v>31</v>
      </c>
      <c r="N841" s="129" t="s">
        <v>32</v>
      </c>
      <c r="O841" s="129" t="s">
        <v>28</v>
      </c>
      <c r="P841" s="129" t="str">
        <f t="shared" si="27"/>
        <v>N/A</v>
      </c>
      <c r="Q841" s="130"/>
      <c r="R841" s="128">
        <v>41.92</v>
      </c>
      <c r="S841" s="128">
        <v>52.81</v>
      </c>
      <c r="T841" s="130"/>
      <c r="U841" s="154"/>
    </row>
    <row r="842" spans="1:21" ht="15.75" hidden="1" thickBot="1">
      <c r="A842" s="45">
        <v>1246</v>
      </c>
      <c r="B842" s="123"/>
      <c r="C842" s="123"/>
      <c r="D842" s="123"/>
      <c r="E842" s="123"/>
      <c r="F842" s="123"/>
      <c r="G842" s="127" t="s">
        <v>210</v>
      </c>
      <c r="H842" s="128">
        <v>2003</v>
      </c>
      <c r="I842" s="128" t="s">
        <v>38</v>
      </c>
      <c r="J842" s="128">
        <f t="shared" si="26"/>
        <v>9</v>
      </c>
      <c r="K842" s="128" t="s">
        <v>1793</v>
      </c>
      <c r="L842" s="128" t="s">
        <v>30</v>
      </c>
      <c r="M842" s="129" t="s">
        <v>31</v>
      </c>
      <c r="N842" s="129" t="s">
        <v>28</v>
      </c>
      <c r="O842" s="129" t="s">
        <v>28</v>
      </c>
      <c r="P842" s="129" t="str">
        <f t="shared" si="27"/>
        <v>N/A</v>
      </c>
      <c r="Q842" s="128" t="s">
        <v>2006</v>
      </c>
      <c r="R842" s="128">
        <v>0.06</v>
      </c>
      <c r="S842" s="130"/>
      <c r="T842" s="130" t="s">
        <v>31</v>
      </c>
      <c r="U842" s="154"/>
    </row>
    <row r="843" spans="1:21" ht="15.75" hidden="1" thickBot="1">
      <c r="A843" s="45">
        <v>1246</v>
      </c>
      <c r="B843" s="123"/>
      <c r="C843" s="123"/>
      <c r="D843" s="123"/>
      <c r="E843" s="123"/>
      <c r="F843" s="123"/>
      <c r="G843" s="127" t="s">
        <v>210</v>
      </c>
      <c r="H843" s="128">
        <v>2003</v>
      </c>
      <c r="I843" s="128" t="s">
        <v>38</v>
      </c>
      <c r="J843" s="128">
        <f t="shared" si="26"/>
        <v>9</v>
      </c>
      <c r="K843" s="144" t="s">
        <v>1798</v>
      </c>
      <c r="L843" s="128" t="s">
        <v>30</v>
      </c>
      <c r="M843" s="129" t="s">
        <v>1065</v>
      </c>
      <c r="N843" s="129" t="s">
        <v>28</v>
      </c>
      <c r="O843" s="129" t="s">
        <v>28</v>
      </c>
      <c r="P843" s="129" t="str">
        <f t="shared" si="27"/>
        <v>N/A</v>
      </c>
      <c r="Q843" s="138" t="s">
        <v>2007</v>
      </c>
      <c r="R843" s="128">
        <v>19.57</v>
      </c>
      <c r="S843" s="128">
        <v>47.19</v>
      </c>
      <c r="T843" s="130" t="s">
        <v>1069</v>
      </c>
      <c r="U843" s="154"/>
    </row>
    <row r="844" spans="1:21" ht="15.75" hidden="1" thickBot="1">
      <c r="A844" s="45">
        <v>1246</v>
      </c>
      <c r="B844" s="123"/>
      <c r="C844" s="123"/>
      <c r="D844" s="123"/>
      <c r="E844" s="123"/>
      <c r="F844" s="123"/>
      <c r="G844" s="127" t="s">
        <v>210</v>
      </c>
      <c r="H844" s="128">
        <v>2003</v>
      </c>
      <c r="I844" s="128" t="s">
        <v>38</v>
      </c>
      <c r="J844" s="128">
        <f t="shared" si="26"/>
        <v>9</v>
      </c>
      <c r="K844" s="128" t="s">
        <v>2008</v>
      </c>
      <c r="L844" s="128" t="s">
        <v>30</v>
      </c>
      <c r="M844" s="129" t="s">
        <v>31</v>
      </c>
      <c r="N844" s="129" t="s">
        <v>28</v>
      </c>
      <c r="O844" s="129" t="s">
        <v>28</v>
      </c>
      <c r="P844" s="129" t="str">
        <f t="shared" si="27"/>
        <v>N/A</v>
      </c>
      <c r="Q844" s="138" t="s">
        <v>2009</v>
      </c>
      <c r="R844" s="128">
        <v>0.44</v>
      </c>
      <c r="S844" s="130"/>
      <c r="T844" s="130" t="s">
        <v>31</v>
      </c>
      <c r="U844" s="154"/>
    </row>
    <row r="845" spans="1:21" ht="15.75" hidden="1" thickBot="1">
      <c r="A845" s="45">
        <v>1246</v>
      </c>
      <c r="B845" s="123"/>
      <c r="C845" s="123"/>
      <c r="D845" s="123"/>
      <c r="E845" s="123"/>
      <c r="F845" s="123"/>
      <c r="G845" s="127" t="s">
        <v>210</v>
      </c>
      <c r="H845" s="128">
        <v>2003</v>
      </c>
      <c r="I845" s="128" t="s">
        <v>38</v>
      </c>
      <c r="J845" s="128">
        <f t="shared" si="26"/>
        <v>9</v>
      </c>
      <c r="K845" s="128" t="s">
        <v>2010</v>
      </c>
      <c r="L845" s="128" t="s">
        <v>30</v>
      </c>
      <c r="M845" s="129" t="s">
        <v>31</v>
      </c>
      <c r="N845" s="129" t="s">
        <v>28</v>
      </c>
      <c r="O845" s="129" t="s">
        <v>28</v>
      </c>
      <c r="P845" s="129" t="str">
        <f t="shared" si="27"/>
        <v>N/A</v>
      </c>
      <c r="Q845" s="130"/>
      <c r="R845" s="128">
        <v>0.36</v>
      </c>
      <c r="S845" s="130"/>
      <c r="T845" s="130"/>
      <c r="U845" s="154"/>
    </row>
    <row r="846" spans="1:21" ht="15.75" hidden="1" thickBot="1">
      <c r="A846" s="45">
        <v>1246</v>
      </c>
      <c r="B846" s="123"/>
      <c r="C846" s="123"/>
      <c r="D846" s="123"/>
      <c r="E846" s="123"/>
      <c r="F846" s="123"/>
      <c r="G846" s="127" t="s">
        <v>210</v>
      </c>
      <c r="H846" s="128">
        <v>2003</v>
      </c>
      <c r="I846" s="128" t="s">
        <v>38</v>
      </c>
      <c r="J846" s="128">
        <f t="shared" si="26"/>
        <v>9</v>
      </c>
      <c r="K846" s="128" t="s">
        <v>272</v>
      </c>
      <c r="L846" s="128" t="s">
        <v>40</v>
      </c>
      <c r="M846" s="129" t="s">
        <v>31</v>
      </c>
      <c r="N846" s="129" t="s">
        <v>28</v>
      </c>
      <c r="O846" s="129" t="s">
        <v>28</v>
      </c>
      <c r="P846" s="129" t="str">
        <f t="shared" si="27"/>
        <v>N/A</v>
      </c>
      <c r="Q846" s="128" t="s">
        <v>2011</v>
      </c>
      <c r="R846" s="128">
        <v>8.48</v>
      </c>
      <c r="S846" s="130"/>
      <c r="T846" s="130" t="s">
        <v>31</v>
      </c>
      <c r="U846" s="154"/>
    </row>
    <row r="847" spans="1:21" ht="15.75" hidden="1" thickBot="1">
      <c r="A847" s="45">
        <v>1246</v>
      </c>
      <c r="B847" s="123"/>
      <c r="C847" s="123"/>
      <c r="D847" s="123"/>
      <c r="E847" s="123"/>
      <c r="F847" s="123"/>
      <c r="G847" s="127" t="s">
        <v>210</v>
      </c>
      <c r="H847" s="128">
        <v>2003</v>
      </c>
      <c r="I847" s="128" t="s">
        <v>38</v>
      </c>
      <c r="J847" s="128">
        <f t="shared" si="26"/>
        <v>9</v>
      </c>
      <c r="K847" s="128" t="s">
        <v>264</v>
      </c>
      <c r="L847" s="128" t="s">
        <v>30</v>
      </c>
      <c r="M847" s="129" t="s">
        <v>31</v>
      </c>
      <c r="N847" s="129" t="s">
        <v>28</v>
      </c>
      <c r="O847" s="129" t="s">
        <v>28</v>
      </c>
      <c r="P847" s="129" t="str">
        <f t="shared" si="27"/>
        <v>N/A</v>
      </c>
      <c r="Q847" s="130"/>
      <c r="R847" s="128">
        <v>10.31</v>
      </c>
      <c r="S847" s="130"/>
      <c r="T847" s="130"/>
      <c r="U847" s="154"/>
    </row>
    <row r="848" spans="1:21" ht="15.75" hidden="1" thickBot="1">
      <c r="A848" s="45">
        <v>1246</v>
      </c>
      <c r="B848" s="123"/>
      <c r="C848" s="123"/>
      <c r="D848" s="123"/>
      <c r="E848" s="123"/>
      <c r="F848" s="123"/>
      <c r="G848" s="127" t="s">
        <v>210</v>
      </c>
      <c r="H848" s="128">
        <v>2003</v>
      </c>
      <c r="I848" s="128" t="s">
        <v>38</v>
      </c>
      <c r="J848" s="128">
        <f t="shared" si="26"/>
        <v>9</v>
      </c>
      <c r="K848" s="128" t="s">
        <v>2012</v>
      </c>
      <c r="L848" s="128" t="s">
        <v>30</v>
      </c>
      <c r="M848" s="129" t="s">
        <v>31</v>
      </c>
      <c r="N848" s="129" t="s">
        <v>28</v>
      </c>
      <c r="O848" s="129" t="s">
        <v>28</v>
      </c>
      <c r="P848" s="129" t="str">
        <f t="shared" si="27"/>
        <v>N/A</v>
      </c>
      <c r="Q848" s="128" t="s">
        <v>2013</v>
      </c>
      <c r="R848" s="128">
        <v>2.41</v>
      </c>
      <c r="S848" s="130"/>
      <c r="T848" s="130" t="s">
        <v>31</v>
      </c>
      <c r="U848" s="139"/>
    </row>
    <row r="849" spans="1:21" ht="15.75" thickBot="1">
      <c r="A849" s="45">
        <v>1247</v>
      </c>
      <c r="B849" s="123"/>
      <c r="C849" s="123"/>
      <c r="D849" s="123"/>
      <c r="E849" s="123"/>
      <c r="F849" s="123"/>
      <c r="G849" s="127" t="s">
        <v>210</v>
      </c>
      <c r="H849" s="128">
        <v>2003</v>
      </c>
      <c r="I849" s="128" t="s">
        <v>1825</v>
      </c>
      <c r="J849" s="128">
        <f t="shared" si="26"/>
        <v>2</v>
      </c>
      <c r="K849" s="128" t="s">
        <v>253</v>
      </c>
      <c r="L849" s="128" t="s">
        <v>30</v>
      </c>
      <c r="M849" s="129" t="s">
        <v>31</v>
      </c>
      <c r="N849" s="129" t="s">
        <v>32</v>
      </c>
      <c r="O849" s="129"/>
      <c r="P849" s="129" t="str">
        <f t="shared" si="27"/>
        <v/>
      </c>
      <c r="Q849" s="130"/>
      <c r="R849" s="128">
        <v>82.01</v>
      </c>
      <c r="S849" s="130"/>
      <c r="T849" s="130"/>
      <c r="U849" s="152"/>
    </row>
    <row r="850" spans="1:21" ht="15.75" thickBot="1">
      <c r="A850" s="45">
        <v>1247</v>
      </c>
      <c r="B850" s="123"/>
      <c r="C850" s="123"/>
      <c r="D850" s="123"/>
      <c r="E850" s="123"/>
      <c r="F850" s="123"/>
      <c r="G850" s="127" t="s">
        <v>210</v>
      </c>
      <c r="H850" s="128">
        <v>2003</v>
      </c>
      <c r="I850" s="128" t="s">
        <v>1825</v>
      </c>
      <c r="J850" s="128">
        <f t="shared" si="26"/>
        <v>2</v>
      </c>
      <c r="K850" s="128" t="s">
        <v>2014</v>
      </c>
      <c r="L850" s="128" t="s">
        <v>30</v>
      </c>
      <c r="M850" s="129" t="s">
        <v>1003</v>
      </c>
      <c r="N850" s="129" t="s">
        <v>28</v>
      </c>
      <c r="O850" s="129"/>
      <c r="P850" s="129" t="str">
        <f t="shared" si="27"/>
        <v/>
      </c>
      <c r="Q850" s="132" t="s">
        <v>2015</v>
      </c>
      <c r="R850" s="128">
        <v>17.71</v>
      </c>
      <c r="S850" s="130"/>
      <c r="T850" s="130"/>
      <c r="U850" s="152"/>
    </row>
    <row r="851" spans="1:21" ht="15.75" hidden="1" thickBot="1">
      <c r="A851" s="45">
        <v>1238</v>
      </c>
      <c r="B851" s="123"/>
      <c r="C851" s="123"/>
      <c r="D851" s="123"/>
      <c r="E851" s="123"/>
      <c r="F851" s="123"/>
      <c r="G851" s="127" t="s">
        <v>210</v>
      </c>
      <c r="H851" s="128">
        <v>2004</v>
      </c>
      <c r="I851" s="128" t="s">
        <v>1826</v>
      </c>
      <c r="J851" s="128">
        <f t="shared" si="26"/>
        <v>7</v>
      </c>
      <c r="K851" s="128" t="s">
        <v>2016</v>
      </c>
      <c r="L851" s="128" t="s">
        <v>30</v>
      </c>
      <c r="M851" s="129" t="s">
        <v>31</v>
      </c>
      <c r="N851" s="129" t="s">
        <v>28</v>
      </c>
      <c r="O851" s="129" t="s">
        <v>28</v>
      </c>
      <c r="P851" s="129" t="str">
        <f t="shared" si="27"/>
        <v>N/A</v>
      </c>
      <c r="Q851" s="138" t="s">
        <v>2017</v>
      </c>
      <c r="R851" s="128">
        <v>6.98</v>
      </c>
      <c r="S851" s="128">
        <v>0</v>
      </c>
      <c r="T851" s="130" t="s">
        <v>31</v>
      </c>
      <c r="U851" s="154"/>
    </row>
    <row r="852" spans="1:21" ht="15.75" hidden="1" thickBot="1">
      <c r="A852" s="45">
        <v>1238</v>
      </c>
      <c r="B852" s="123"/>
      <c r="C852" s="123"/>
      <c r="D852" s="123"/>
      <c r="E852" s="123"/>
      <c r="F852" s="123"/>
      <c r="G852" s="127" t="s">
        <v>210</v>
      </c>
      <c r="H852" s="128">
        <v>2004</v>
      </c>
      <c r="I852" s="128" t="s">
        <v>1826</v>
      </c>
      <c r="J852" s="128">
        <f t="shared" si="26"/>
        <v>7</v>
      </c>
      <c r="K852" s="128" t="s">
        <v>260</v>
      </c>
      <c r="L852" s="128" t="s">
        <v>30</v>
      </c>
      <c r="M852" s="129" t="s">
        <v>31</v>
      </c>
      <c r="N852" s="129" t="s">
        <v>32</v>
      </c>
      <c r="O852" s="129" t="s">
        <v>32</v>
      </c>
      <c r="P852" s="129" t="str">
        <f t="shared" si="27"/>
        <v>Y</v>
      </c>
      <c r="Q852" s="132" t="s">
        <v>2018</v>
      </c>
      <c r="R852" s="128">
        <v>41.09</v>
      </c>
      <c r="S852" s="128">
        <v>54.01</v>
      </c>
      <c r="T852" s="130" t="s">
        <v>31</v>
      </c>
      <c r="U852" s="154"/>
    </row>
    <row r="853" spans="1:21" ht="15.75" hidden="1" thickBot="1">
      <c r="A853" s="45">
        <v>1238</v>
      </c>
      <c r="B853" s="123"/>
      <c r="C853" s="123"/>
      <c r="D853" s="123"/>
      <c r="E853" s="123"/>
      <c r="F853" s="123"/>
      <c r="G853" s="127" t="s">
        <v>210</v>
      </c>
      <c r="H853" s="128">
        <v>2004</v>
      </c>
      <c r="I853" s="128" t="s">
        <v>1826</v>
      </c>
      <c r="J853" s="128">
        <f t="shared" si="26"/>
        <v>7</v>
      </c>
      <c r="K853" s="128" t="s">
        <v>2019</v>
      </c>
      <c r="L853" s="128" t="s">
        <v>30</v>
      </c>
      <c r="M853" s="129" t="s">
        <v>1003</v>
      </c>
      <c r="N853" s="129" t="s">
        <v>28</v>
      </c>
      <c r="O853" s="129" t="s">
        <v>28</v>
      </c>
      <c r="P853" s="129" t="str">
        <f t="shared" si="27"/>
        <v>N/A</v>
      </c>
      <c r="Q853" s="138" t="s">
        <v>2020</v>
      </c>
      <c r="R853" s="128">
        <v>0.46</v>
      </c>
      <c r="S853" s="128">
        <v>0</v>
      </c>
      <c r="T853" s="130"/>
      <c r="U853" s="154"/>
    </row>
    <row r="854" spans="1:21" ht="15.75" hidden="1" thickBot="1">
      <c r="A854" s="45">
        <v>1238</v>
      </c>
      <c r="B854" s="123"/>
      <c r="C854" s="123"/>
      <c r="D854" s="123"/>
      <c r="E854" s="123"/>
      <c r="F854" s="123"/>
      <c r="G854" s="127" t="s">
        <v>210</v>
      </c>
      <c r="H854" s="128">
        <v>2004</v>
      </c>
      <c r="I854" s="128" t="s">
        <v>1826</v>
      </c>
      <c r="J854" s="128">
        <f t="shared" si="26"/>
        <v>7</v>
      </c>
      <c r="K854" s="128" t="s">
        <v>2021</v>
      </c>
      <c r="L854" s="128" t="s">
        <v>40</v>
      </c>
      <c r="M854" s="129" t="s">
        <v>31</v>
      </c>
      <c r="N854" s="129" t="s">
        <v>28</v>
      </c>
      <c r="O854" s="129" t="s">
        <v>28</v>
      </c>
      <c r="P854" s="129" t="str">
        <f t="shared" si="27"/>
        <v>N/A</v>
      </c>
      <c r="Q854" s="128" t="s">
        <v>2022</v>
      </c>
      <c r="R854" s="128">
        <v>4.78</v>
      </c>
      <c r="S854" s="128">
        <v>0</v>
      </c>
      <c r="T854" s="130" t="s">
        <v>31</v>
      </c>
      <c r="U854" s="154" t="s">
        <v>2022</v>
      </c>
    </row>
    <row r="855" spans="1:21" ht="15.75" hidden="1" thickBot="1">
      <c r="A855" s="45">
        <v>1238</v>
      </c>
      <c r="B855" s="123"/>
      <c r="C855" s="123"/>
      <c r="D855" s="123"/>
      <c r="E855" s="123"/>
      <c r="F855" s="123"/>
      <c r="G855" s="127" t="s">
        <v>210</v>
      </c>
      <c r="H855" s="128">
        <v>2004</v>
      </c>
      <c r="I855" s="128" t="s">
        <v>1826</v>
      </c>
      <c r="J855" s="128">
        <f t="shared" si="26"/>
        <v>7</v>
      </c>
      <c r="K855" s="128" t="s">
        <v>2023</v>
      </c>
      <c r="L855" s="128" t="s">
        <v>40</v>
      </c>
      <c r="M855" s="129" t="s">
        <v>34</v>
      </c>
      <c r="N855" s="129" t="s">
        <v>28</v>
      </c>
      <c r="O855" s="129" t="s">
        <v>28</v>
      </c>
      <c r="P855" s="129" t="str">
        <f t="shared" si="27"/>
        <v>N/A</v>
      </c>
      <c r="Q855" s="128" t="s">
        <v>2024</v>
      </c>
      <c r="R855" s="128">
        <v>31.22</v>
      </c>
      <c r="S855" s="128">
        <v>45.99</v>
      </c>
      <c r="T855" s="130" t="s">
        <v>1015</v>
      </c>
      <c r="U855" s="154" t="s">
        <v>2025</v>
      </c>
    </row>
    <row r="856" spans="1:21" ht="15.75" hidden="1" thickBot="1">
      <c r="A856" s="45">
        <v>1238</v>
      </c>
      <c r="B856" s="123"/>
      <c r="C856" s="123"/>
      <c r="D856" s="123"/>
      <c r="E856" s="123"/>
      <c r="F856" s="123"/>
      <c r="G856" s="127" t="s">
        <v>210</v>
      </c>
      <c r="H856" s="128">
        <v>2004</v>
      </c>
      <c r="I856" s="128" t="s">
        <v>1826</v>
      </c>
      <c r="J856" s="128">
        <f t="shared" si="26"/>
        <v>7</v>
      </c>
      <c r="K856" s="128" t="s">
        <v>2026</v>
      </c>
      <c r="L856" s="128" t="s">
        <v>30</v>
      </c>
      <c r="M856" s="129" t="s">
        <v>31</v>
      </c>
      <c r="N856" s="129" t="s">
        <v>28</v>
      </c>
      <c r="O856" s="129" t="s">
        <v>28</v>
      </c>
      <c r="P856" s="129" t="str">
        <f t="shared" si="27"/>
        <v>N/A</v>
      </c>
      <c r="Q856" s="128" t="s">
        <v>2027</v>
      </c>
      <c r="R856" s="128">
        <v>9.9600000000000009</v>
      </c>
      <c r="S856" s="128">
        <v>0</v>
      </c>
      <c r="T856" s="130" t="s">
        <v>31</v>
      </c>
      <c r="U856" s="154"/>
    </row>
    <row r="857" spans="1:21" ht="15.75" hidden="1" thickBot="1">
      <c r="A857" s="45">
        <v>1238</v>
      </c>
      <c r="B857" s="123"/>
      <c r="C857" s="123"/>
      <c r="D857" s="123"/>
      <c r="E857" s="123"/>
      <c r="F857" s="123"/>
      <c r="G857" s="127" t="s">
        <v>210</v>
      </c>
      <c r="H857" s="128">
        <v>2004</v>
      </c>
      <c r="I857" s="128" t="s">
        <v>1826</v>
      </c>
      <c r="J857" s="128">
        <f t="shared" si="26"/>
        <v>7</v>
      </c>
      <c r="K857" s="128" t="s">
        <v>1794</v>
      </c>
      <c r="L857" s="128" t="s">
        <v>40</v>
      </c>
      <c r="M857" s="129" t="s">
        <v>34</v>
      </c>
      <c r="N857" s="129" t="s">
        <v>28</v>
      </c>
      <c r="O857" s="129" t="s">
        <v>28</v>
      </c>
      <c r="P857" s="129" t="str">
        <f t="shared" si="27"/>
        <v>N/A</v>
      </c>
      <c r="Q857" s="128" t="s">
        <v>2028</v>
      </c>
      <c r="R857" s="128">
        <v>5.51</v>
      </c>
      <c r="S857" s="128">
        <v>0</v>
      </c>
      <c r="T857" s="130" t="s">
        <v>998</v>
      </c>
      <c r="U857" s="154"/>
    </row>
    <row r="858" spans="1:21" ht="15.75" hidden="1" thickBot="1">
      <c r="A858" s="45">
        <v>1239</v>
      </c>
      <c r="B858" s="123"/>
      <c r="C858" s="123"/>
      <c r="D858" s="123"/>
      <c r="E858" s="123"/>
      <c r="F858" s="123"/>
      <c r="G858" s="127" t="s">
        <v>210</v>
      </c>
      <c r="H858" s="128">
        <v>2004</v>
      </c>
      <c r="I858" s="128" t="s">
        <v>1834</v>
      </c>
      <c r="J858" s="128">
        <f t="shared" si="26"/>
        <v>5</v>
      </c>
      <c r="K858" s="128" t="s">
        <v>2029</v>
      </c>
      <c r="L858" s="128" t="s">
        <v>30</v>
      </c>
      <c r="M858" s="129" t="s">
        <v>31</v>
      </c>
      <c r="N858" s="129" t="s">
        <v>28</v>
      </c>
      <c r="O858" s="129" t="s">
        <v>28</v>
      </c>
      <c r="P858" s="129" t="str">
        <f t="shared" si="27"/>
        <v>N/A</v>
      </c>
      <c r="Q858" s="128" t="s">
        <v>2030</v>
      </c>
      <c r="R858" s="128">
        <v>12.26</v>
      </c>
      <c r="S858" s="130"/>
      <c r="T858" s="130" t="s">
        <v>31</v>
      </c>
      <c r="U858" s="154"/>
    </row>
    <row r="859" spans="1:21" ht="15.75" hidden="1" thickBot="1">
      <c r="A859" s="45">
        <v>1239</v>
      </c>
      <c r="B859" s="123"/>
      <c r="C859" s="123"/>
      <c r="D859" s="123"/>
      <c r="E859" s="123"/>
      <c r="F859" s="123"/>
      <c r="G859" s="127" t="s">
        <v>210</v>
      </c>
      <c r="H859" s="128">
        <v>2004</v>
      </c>
      <c r="I859" s="128" t="s">
        <v>1834</v>
      </c>
      <c r="J859" s="128">
        <f t="shared" si="26"/>
        <v>5</v>
      </c>
      <c r="K859" s="128" t="s">
        <v>2031</v>
      </c>
      <c r="L859" s="128" t="s">
        <v>30</v>
      </c>
      <c r="M859" s="129" t="s">
        <v>34</v>
      </c>
      <c r="N859" s="129" t="s">
        <v>28</v>
      </c>
      <c r="O859" s="129" t="s">
        <v>28</v>
      </c>
      <c r="P859" s="129" t="str">
        <f t="shared" si="27"/>
        <v>N/A</v>
      </c>
      <c r="Q859" s="128" t="s">
        <v>2032</v>
      </c>
      <c r="R859" s="128">
        <v>4.01</v>
      </c>
      <c r="S859" s="130"/>
      <c r="T859" s="130" t="s">
        <v>1069</v>
      </c>
      <c r="U859" s="154"/>
    </row>
    <row r="860" spans="1:21" ht="15.75" hidden="1" thickBot="1">
      <c r="A860" s="45">
        <v>1239</v>
      </c>
      <c r="B860" s="123"/>
      <c r="C860" s="123"/>
      <c r="D860" s="123"/>
      <c r="E860" s="123"/>
      <c r="F860" s="123"/>
      <c r="G860" s="127" t="s">
        <v>210</v>
      </c>
      <c r="H860" s="128">
        <v>2004</v>
      </c>
      <c r="I860" s="128" t="s">
        <v>1834</v>
      </c>
      <c r="J860" s="128">
        <f t="shared" si="26"/>
        <v>5</v>
      </c>
      <c r="K860" s="128" t="s">
        <v>254</v>
      </c>
      <c r="L860" s="128" t="s">
        <v>40</v>
      </c>
      <c r="M860" s="129" t="s">
        <v>31</v>
      </c>
      <c r="N860" s="129" t="s">
        <v>32</v>
      </c>
      <c r="O860" s="129" t="s">
        <v>32</v>
      </c>
      <c r="P860" s="129" t="str">
        <f t="shared" si="27"/>
        <v>Y</v>
      </c>
      <c r="Q860" s="130"/>
      <c r="R860" s="128">
        <v>61.25</v>
      </c>
      <c r="S860" s="130"/>
      <c r="T860" s="130"/>
      <c r="U860" s="139"/>
    </row>
    <row r="861" spans="1:21" ht="15.75" hidden="1" thickBot="1">
      <c r="A861" s="45">
        <v>1239</v>
      </c>
      <c r="B861" s="123"/>
      <c r="C861" s="123"/>
      <c r="D861" s="123"/>
      <c r="E861" s="123"/>
      <c r="F861" s="123"/>
      <c r="G861" s="127" t="s">
        <v>210</v>
      </c>
      <c r="H861" s="128">
        <v>2004</v>
      </c>
      <c r="I861" s="128" t="s">
        <v>1834</v>
      </c>
      <c r="J861" s="128">
        <f t="shared" si="26"/>
        <v>5</v>
      </c>
      <c r="K861" s="128" t="s">
        <v>2010</v>
      </c>
      <c r="L861" s="128" t="s">
        <v>30</v>
      </c>
      <c r="M861" s="129" t="s">
        <v>31</v>
      </c>
      <c r="N861" s="129" t="s">
        <v>28</v>
      </c>
      <c r="O861" s="129" t="s">
        <v>28</v>
      </c>
      <c r="P861" s="129" t="str">
        <f t="shared" si="27"/>
        <v>N/A</v>
      </c>
      <c r="Q861" s="128" t="s">
        <v>2033</v>
      </c>
      <c r="R861" s="128">
        <v>5.68</v>
      </c>
      <c r="S861" s="130"/>
      <c r="T861" s="130" t="s">
        <v>31</v>
      </c>
      <c r="U861" s="154"/>
    </row>
    <row r="862" spans="1:21" ht="15.75" hidden="1" thickBot="1">
      <c r="A862" s="45">
        <v>1239</v>
      </c>
      <c r="B862" s="123"/>
      <c r="C862" s="123"/>
      <c r="D862" s="123"/>
      <c r="E862" s="123"/>
      <c r="F862" s="123"/>
      <c r="G862" s="127" t="s">
        <v>210</v>
      </c>
      <c r="H862" s="128">
        <v>2004</v>
      </c>
      <c r="I862" s="128" t="s">
        <v>1834</v>
      </c>
      <c r="J862" s="128">
        <f t="shared" si="26"/>
        <v>5</v>
      </c>
      <c r="K862" s="128" t="s">
        <v>2034</v>
      </c>
      <c r="L862" s="128" t="s">
        <v>30</v>
      </c>
      <c r="M862" s="129" t="s">
        <v>31</v>
      </c>
      <c r="N862" s="129" t="s">
        <v>28</v>
      </c>
      <c r="O862" s="129" t="s">
        <v>28</v>
      </c>
      <c r="P862" s="129" t="str">
        <f t="shared" si="27"/>
        <v>N/A</v>
      </c>
      <c r="Q862" s="128" t="s">
        <v>2035</v>
      </c>
      <c r="R862" s="128">
        <v>16.8</v>
      </c>
      <c r="S862" s="130"/>
      <c r="T862" s="130" t="s">
        <v>31</v>
      </c>
      <c r="U862" s="154"/>
    </row>
    <row r="863" spans="1:21" ht="15.75" hidden="1" thickBot="1">
      <c r="A863" s="45">
        <v>1240</v>
      </c>
      <c r="B863" s="123"/>
      <c r="C863" s="123"/>
      <c r="D863" s="123"/>
      <c r="E863" s="123"/>
      <c r="F863" s="123"/>
      <c r="G863" s="127" t="s">
        <v>210</v>
      </c>
      <c r="H863" s="128">
        <v>2004</v>
      </c>
      <c r="I863" s="128" t="s">
        <v>1835</v>
      </c>
      <c r="J863" s="128">
        <f t="shared" si="26"/>
        <v>4</v>
      </c>
      <c r="K863" s="128" t="s">
        <v>261</v>
      </c>
      <c r="L863" s="128" t="s">
        <v>30</v>
      </c>
      <c r="M863" s="129" t="s">
        <v>31</v>
      </c>
      <c r="N863" s="129" t="s">
        <v>32</v>
      </c>
      <c r="O863" s="129" t="s">
        <v>32</v>
      </c>
      <c r="P863" s="129" t="str">
        <f t="shared" si="27"/>
        <v>Y</v>
      </c>
      <c r="Q863" s="132" t="s">
        <v>2036</v>
      </c>
      <c r="R863" s="128">
        <v>62.55</v>
      </c>
      <c r="S863" s="130"/>
      <c r="T863" s="130" t="s">
        <v>31</v>
      </c>
      <c r="U863" s="154"/>
    </row>
    <row r="864" spans="1:21" ht="15.75" hidden="1" thickBot="1">
      <c r="A864" s="45">
        <v>1240</v>
      </c>
      <c r="B864" s="123"/>
      <c r="C864" s="123"/>
      <c r="D864" s="123"/>
      <c r="E864" s="123"/>
      <c r="F864" s="123"/>
      <c r="G864" s="127" t="s">
        <v>210</v>
      </c>
      <c r="H864" s="128">
        <v>2004</v>
      </c>
      <c r="I864" s="128" t="s">
        <v>1835</v>
      </c>
      <c r="J864" s="128">
        <f t="shared" si="26"/>
        <v>4</v>
      </c>
      <c r="K864" s="128" t="s">
        <v>2037</v>
      </c>
      <c r="L864" s="128" t="s">
        <v>30</v>
      </c>
      <c r="M864" s="129" t="s">
        <v>31</v>
      </c>
      <c r="N864" s="129" t="s">
        <v>28</v>
      </c>
      <c r="O864" s="129" t="s">
        <v>28</v>
      </c>
      <c r="P864" s="129" t="str">
        <f t="shared" si="27"/>
        <v>N/A</v>
      </c>
      <c r="Q864" s="128" t="s">
        <v>2038</v>
      </c>
      <c r="R864" s="128">
        <v>17.78</v>
      </c>
      <c r="S864" s="130"/>
      <c r="T864" s="130" t="s">
        <v>31</v>
      </c>
      <c r="U864" s="154" t="s">
        <v>2039</v>
      </c>
    </row>
    <row r="865" spans="1:21" ht="15.75" hidden="1" thickBot="1">
      <c r="A865" s="45">
        <v>1240</v>
      </c>
      <c r="B865" s="123"/>
      <c r="C865" s="123"/>
      <c r="D865" s="123"/>
      <c r="E865" s="123"/>
      <c r="F865" s="123"/>
      <c r="G865" s="127" t="s">
        <v>210</v>
      </c>
      <c r="H865" s="128">
        <v>2004</v>
      </c>
      <c r="I865" s="128" t="s">
        <v>1835</v>
      </c>
      <c r="J865" s="128">
        <f t="shared" si="26"/>
        <v>4</v>
      </c>
      <c r="K865" s="128" t="s">
        <v>2040</v>
      </c>
      <c r="L865" s="128" t="s">
        <v>30</v>
      </c>
      <c r="M865" s="129" t="s">
        <v>34</v>
      </c>
      <c r="N865" s="129" t="s">
        <v>28</v>
      </c>
      <c r="O865" s="129" t="s">
        <v>28</v>
      </c>
      <c r="P865" s="129" t="str">
        <f t="shared" si="27"/>
        <v>N/A</v>
      </c>
      <c r="Q865" s="128" t="s">
        <v>2041</v>
      </c>
      <c r="R865" s="128">
        <v>13.71</v>
      </c>
      <c r="S865" s="130"/>
      <c r="T865" s="130" t="s">
        <v>998</v>
      </c>
      <c r="U865" s="154" t="s">
        <v>2039</v>
      </c>
    </row>
    <row r="866" spans="1:21" ht="15.75" hidden="1" thickBot="1">
      <c r="A866" s="45">
        <v>1240</v>
      </c>
      <c r="B866" s="123"/>
      <c r="C866" s="123"/>
      <c r="D866" s="123"/>
      <c r="E866" s="123"/>
      <c r="F866" s="123"/>
      <c r="G866" s="127" t="s">
        <v>210</v>
      </c>
      <c r="H866" s="128">
        <v>2004</v>
      </c>
      <c r="I866" s="128" t="s">
        <v>1835</v>
      </c>
      <c r="J866" s="128">
        <f t="shared" si="26"/>
        <v>4</v>
      </c>
      <c r="K866" s="128" t="s">
        <v>2042</v>
      </c>
      <c r="L866" s="128" t="s">
        <v>30</v>
      </c>
      <c r="M866" s="129" t="s">
        <v>31</v>
      </c>
      <c r="N866" s="129" t="s">
        <v>28</v>
      </c>
      <c r="O866" s="129" t="s">
        <v>28</v>
      </c>
      <c r="P866" s="129" t="str">
        <f t="shared" si="27"/>
        <v>N/A</v>
      </c>
      <c r="Q866" s="128" t="s">
        <v>2043</v>
      </c>
      <c r="R866" s="128">
        <v>5.96</v>
      </c>
      <c r="S866" s="130"/>
      <c r="T866" s="130"/>
      <c r="U866" s="154" t="s">
        <v>2039</v>
      </c>
    </row>
    <row r="867" spans="1:21" ht="15.75" hidden="1" thickBot="1">
      <c r="A867" s="45">
        <v>1241</v>
      </c>
      <c r="B867" s="123"/>
      <c r="C867" s="123"/>
      <c r="D867" s="123"/>
      <c r="E867" s="123"/>
      <c r="F867" s="123"/>
      <c r="G867" s="127" t="s">
        <v>210</v>
      </c>
      <c r="H867" s="128">
        <v>2004</v>
      </c>
      <c r="I867" s="128" t="s">
        <v>1860</v>
      </c>
      <c r="J867" s="128">
        <f t="shared" si="26"/>
        <v>22</v>
      </c>
      <c r="K867" s="128" t="s">
        <v>2044</v>
      </c>
      <c r="L867" s="128" t="s">
        <v>30</v>
      </c>
      <c r="M867" s="129" t="s">
        <v>31</v>
      </c>
      <c r="N867" s="129" t="s">
        <v>28</v>
      </c>
      <c r="O867" s="129" t="s">
        <v>28</v>
      </c>
      <c r="P867" s="129" t="str">
        <f t="shared" si="27"/>
        <v>N/A</v>
      </c>
      <c r="Q867" s="128" t="s">
        <v>2045</v>
      </c>
      <c r="R867" s="128">
        <v>7.08</v>
      </c>
      <c r="S867" s="128">
        <v>0</v>
      </c>
      <c r="T867" s="130" t="s">
        <v>31</v>
      </c>
      <c r="U867" s="154" t="s">
        <v>2046</v>
      </c>
    </row>
    <row r="868" spans="1:21" ht="15.75" hidden="1" thickBot="1">
      <c r="A868" s="45">
        <v>1241</v>
      </c>
      <c r="B868" s="123"/>
      <c r="C868" s="123"/>
      <c r="D868" s="123"/>
      <c r="E868" s="123"/>
      <c r="F868" s="123"/>
      <c r="G868" s="127" t="s">
        <v>210</v>
      </c>
      <c r="H868" s="128">
        <v>2004</v>
      </c>
      <c r="I868" s="128" t="s">
        <v>1860</v>
      </c>
      <c r="J868" s="128">
        <f t="shared" si="26"/>
        <v>22</v>
      </c>
      <c r="K868" s="128" t="s">
        <v>2047</v>
      </c>
      <c r="L868" s="128" t="s">
        <v>30</v>
      </c>
      <c r="M868" s="129" t="s">
        <v>201</v>
      </c>
      <c r="N868" s="129" t="s">
        <v>28</v>
      </c>
      <c r="O868" s="129" t="s">
        <v>28</v>
      </c>
      <c r="P868" s="129" t="str">
        <f t="shared" si="27"/>
        <v>N/A</v>
      </c>
      <c r="Q868" s="128" t="s">
        <v>2048</v>
      </c>
      <c r="R868" s="128">
        <v>4.75</v>
      </c>
      <c r="S868" s="128">
        <v>0</v>
      </c>
      <c r="T868" s="130" t="s">
        <v>1015</v>
      </c>
      <c r="U868" s="154"/>
    </row>
    <row r="869" spans="1:21" ht="15.75" hidden="1" thickBot="1">
      <c r="A869" s="45">
        <v>1241</v>
      </c>
      <c r="B869" s="123"/>
      <c r="C869" s="123"/>
      <c r="D869" s="123"/>
      <c r="E869" s="123"/>
      <c r="F869" s="123"/>
      <c r="G869" s="127" t="s">
        <v>210</v>
      </c>
      <c r="H869" s="128">
        <v>2004</v>
      </c>
      <c r="I869" s="128" t="s">
        <v>1860</v>
      </c>
      <c r="J869" s="128">
        <f t="shared" si="26"/>
        <v>22</v>
      </c>
      <c r="K869" s="128" t="s">
        <v>2049</v>
      </c>
      <c r="L869" s="128" t="s">
        <v>30</v>
      </c>
      <c r="M869" s="129" t="s">
        <v>31</v>
      </c>
      <c r="N869" s="129" t="s">
        <v>28</v>
      </c>
      <c r="O869" s="129" t="s">
        <v>28</v>
      </c>
      <c r="P869" s="129" t="str">
        <f t="shared" si="27"/>
        <v>N/A</v>
      </c>
      <c r="Q869" s="128" t="s">
        <v>2050</v>
      </c>
      <c r="R869" s="128">
        <v>2.36</v>
      </c>
      <c r="S869" s="128">
        <v>0</v>
      </c>
      <c r="T869" s="130" t="s">
        <v>31</v>
      </c>
      <c r="U869" s="154" t="s">
        <v>2051</v>
      </c>
    </row>
    <row r="870" spans="1:21" ht="15.75" hidden="1" thickBot="1">
      <c r="A870" s="45">
        <v>1241</v>
      </c>
      <c r="B870" s="123"/>
      <c r="C870" s="123"/>
      <c r="D870" s="123"/>
      <c r="E870" s="123"/>
      <c r="F870" s="123"/>
      <c r="G870" s="127" t="s">
        <v>210</v>
      </c>
      <c r="H870" s="128">
        <v>2004</v>
      </c>
      <c r="I870" s="128" t="s">
        <v>1860</v>
      </c>
      <c r="J870" s="128">
        <f t="shared" si="26"/>
        <v>22</v>
      </c>
      <c r="K870" s="128" t="s">
        <v>129</v>
      </c>
      <c r="L870" s="128" t="s">
        <v>30</v>
      </c>
      <c r="M870" s="129" t="s">
        <v>31</v>
      </c>
      <c r="N870" s="129" t="s">
        <v>28</v>
      </c>
      <c r="O870" s="129" t="s">
        <v>28</v>
      </c>
      <c r="P870" s="129" t="str">
        <f t="shared" si="27"/>
        <v>N/A</v>
      </c>
      <c r="Q870" s="128" t="s">
        <v>2052</v>
      </c>
      <c r="R870" s="128">
        <v>3.99</v>
      </c>
      <c r="S870" s="128">
        <v>0</v>
      </c>
      <c r="T870" s="130" t="s">
        <v>31</v>
      </c>
      <c r="U870" s="154" t="s">
        <v>2051</v>
      </c>
    </row>
    <row r="871" spans="1:21" ht="15.75" hidden="1" thickBot="1">
      <c r="A871" s="45">
        <v>1241</v>
      </c>
      <c r="B871" s="123"/>
      <c r="C871" s="123"/>
      <c r="D871" s="123"/>
      <c r="E871" s="123"/>
      <c r="F871" s="123"/>
      <c r="G871" s="127" t="s">
        <v>210</v>
      </c>
      <c r="H871" s="128">
        <v>2004</v>
      </c>
      <c r="I871" s="128" t="s">
        <v>1860</v>
      </c>
      <c r="J871" s="128">
        <f t="shared" si="26"/>
        <v>22</v>
      </c>
      <c r="K871" s="128" t="s">
        <v>2053</v>
      </c>
      <c r="L871" s="128" t="s">
        <v>30</v>
      </c>
      <c r="M871" s="129" t="s">
        <v>31</v>
      </c>
      <c r="N871" s="129" t="s">
        <v>28</v>
      </c>
      <c r="O871" s="129" t="s">
        <v>28</v>
      </c>
      <c r="P871" s="129" t="str">
        <f t="shared" si="27"/>
        <v>N/A</v>
      </c>
      <c r="Q871" s="128" t="s">
        <v>2054</v>
      </c>
      <c r="R871" s="128">
        <v>1.1200000000000001</v>
      </c>
      <c r="S871" s="128">
        <v>0</v>
      </c>
      <c r="T871" s="130" t="s">
        <v>31</v>
      </c>
      <c r="U871" s="154"/>
    </row>
    <row r="872" spans="1:21" ht="15.75" hidden="1" thickBot="1">
      <c r="A872" s="45">
        <v>1241</v>
      </c>
      <c r="B872" s="123"/>
      <c r="C872" s="123"/>
      <c r="D872" s="123"/>
      <c r="E872" s="123"/>
      <c r="F872" s="123"/>
      <c r="G872" s="127" t="s">
        <v>210</v>
      </c>
      <c r="H872" s="128">
        <v>2004</v>
      </c>
      <c r="I872" s="128" t="s">
        <v>1860</v>
      </c>
      <c r="J872" s="128">
        <f t="shared" si="26"/>
        <v>22</v>
      </c>
      <c r="K872" s="128" t="s">
        <v>2055</v>
      </c>
      <c r="L872" s="128" t="s">
        <v>30</v>
      </c>
      <c r="M872" s="129" t="s">
        <v>1003</v>
      </c>
      <c r="N872" s="129" t="s">
        <v>28</v>
      </c>
      <c r="O872" s="129" t="s">
        <v>28</v>
      </c>
      <c r="P872" s="129" t="str">
        <f t="shared" si="27"/>
        <v>N/A</v>
      </c>
      <c r="Q872" s="132" t="s">
        <v>2056</v>
      </c>
      <c r="R872" s="128">
        <v>1.04</v>
      </c>
      <c r="S872" s="128">
        <v>0</v>
      </c>
      <c r="T872" s="130"/>
      <c r="U872" s="154"/>
    </row>
    <row r="873" spans="1:21" ht="15.75" hidden="1" thickBot="1">
      <c r="A873" s="45">
        <v>1241</v>
      </c>
      <c r="B873" s="123"/>
      <c r="C873" s="123"/>
      <c r="D873" s="123"/>
      <c r="E873" s="123"/>
      <c r="F873" s="123"/>
      <c r="G873" s="127" t="s">
        <v>210</v>
      </c>
      <c r="H873" s="128">
        <v>2004</v>
      </c>
      <c r="I873" s="128" t="s">
        <v>1860</v>
      </c>
      <c r="J873" s="128">
        <f t="shared" si="26"/>
        <v>22</v>
      </c>
      <c r="K873" s="128" t="s">
        <v>1890</v>
      </c>
      <c r="L873" s="128" t="s">
        <v>30</v>
      </c>
      <c r="M873" s="129" t="s">
        <v>31</v>
      </c>
      <c r="N873" s="129" t="s">
        <v>28</v>
      </c>
      <c r="O873" s="129" t="s">
        <v>28</v>
      </c>
      <c r="P873" s="129" t="str">
        <f t="shared" si="27"/>
        <v>N/A</v>
      </c>
      <c r="Q873" s="128" t="s">
        <v>1891</v>
      </c>
      <c r="R873" s="128">
        <v>0.16</v>
      </c>
      <c r="S873" s="128">
        <v>0</v>
      </c>
      <c r="T873" s="130"/>
      <c r="U873" s="154"/>
    </row>
    <row r="874" spans="1:21" ht="15.75" hidden="1" thickBot="1">
      <c r="A874" s="45">
        <v>1241</v>
      </c>
      <c r="B874" s="123"/>
      <c r="C874" s="123"/>
      <c r="D874" s="123"/>
      <c r="E874" s="123"/>
      <c r="F874" s="123"/>
      <c r="G874" s="127" t="s">
        <v>210</v>
      </c>
      <c r="H874" s="128">
        <v>2004</v>
      </c>
      <c r="I874" s="128" t="s">
        <v>1860</v>
      </c>
      <c r="J874" s="128">
        <f t="shared" si="26"/>
        <v>22</v>
      </c>
      <c r="K874" s="128" t="s">
        <v>2057</v>
      </c>
      <c r="L874" s="128" t="s">
        <v>30</v>
      </c>
      <c r="M874" s="129" t="s">
        <v>31</v>
      </c>
      <c r="N874" s="129" t="s">
        <v>28</v>
      </c>
      <c r="O874" s="129" t="s">
        <v>28</v>
      </c>
      <c r="P874" s="129" t="str">
        <f t="shared" si="27"/>
        <v>N/A</v>
      </c>
      <c r="Q874" s="128" t="s">
        <v>2058</v>
      </c>
      <c r="R874" s="128">
        <v>4.4000000000000004</v>
      </c>
      <c r="S874" s="128">
        <v>0</v>
      </c>
      <c r="T874" s="130" t="s">
        <v>31</v>
      </c>
      <c r="U874" s="154" t="s">
        <v>2051</v>
      </c>
    </row>
    <row r="875" spans="1:21" ht="15.75" hidden="1" thickBot="1">
      <c r="A875" s="45">
        <v>1241</v>
      </c>
      <c r="B875" s="123"/>
      <c r="C875" s="123"/>
      <c r="D875" s="123"/>
      <c r="E875" s="123"/>
      <c r="F875" s="123"/>
      <c r="G875" s="127" t="s">
        <v>210</v>
      </c>
      <c r="H875" s="128">
        <v>2004</v>
      </c>
      <c r="I875" s="128" t="s">
        <v>1860</v>
      </c>
      <c r="J875" s="128">
        <f t="shared" si="26"/>
        <v>22</v>
      </c>
      <c r="K875" s="128" t="s">
        <v>1899</v>
      </c>
      <c r="L875" s="128" t="s">
        <v>30</v>
      </c>
      <c r="M875" s="129" t="s">
        <v>201</v>
      </c>
      <c r="N875" s="129" t="s">
        <v>28</v>
      </c>
      <c r="O875" s="129" t="s">
        <v>28</v>
      </c>
      <c r="P875" s="129" t="str">
        <f t="shared" si="27"/>
        <v>N/A</v>
      </c>
      <c r="Q875" s="128" t="s">
        <v>2059</v>
      </c>
      <c r="R875" s="128">
        <v>2.27</v>
      </c>
      <c r="S875" s="128">
        <v>0</v>
      </c>
      <c r="T875" s="130" t="s">
        <v>998</v>
      </c>
      <c r="U875" s="154"/>
    </row>
    <row r="876" spans="1:21" ht="15.75" hidden="1" thickBot="1">
      <c r="A876" s="45">
        <v>1241</v>
      </c>
      <c r="B876" s="123"/>
      <c r="C876" s="123"/>
      <c r="D876" s="123"/>
      <c r="E876" s="123"/>
      <c r="F876" s="123"/>
      <c r="G876" s="127" t="s">
        <v>210</v>
      </c>
      <c r="H876" s="128">
        <v>2004</v>
      </c>
      <c r="I876" s="128" t="s">
        <v>1860</v>
      </c>
      <c r="J876" s="128">
        <f t="shared" si="26"/>
        <v>22</v>
      </c>
      <c r="K876" s="128" t="s">
        <v>2060</v>
      </c>
      <c r="L876" s="128" t="s">
        <v>30</v>
      </c>
      <c r="M876" s="129" t="s">
        <v>201</v>
      </c>
      <c r="N876" s="129" t="s">
        <v>28</v>
      </c>
      <c r="O876" s="129" t="s">
        <v>28</v>
      </c>
      <c r="P876" s="129" t="str">
        <f t="shared" si="27"/>
        <v>N/A</v>
      </c>
      <c r="Q876" s="130"/>
      <c r="R876" s="128">
        <v>1.18</v>
      </c>
      <c r="S876" s="128">
        <v>0</v>
      </c>
      <c r="T876" s="130"/>
      <c r="U876" s="154" t="s">
        <v>2051</v>
      </c>
    </row>
    <row r="877" spans="1:21" ht="15.75" hidden="1" thickBot="1">
      <c r="A877" s="45">
        <v>1241</v>
      </c>
      <c r="B877" s="123"/>
      <c r="C877" s="123"/>
      <c r="D877" s="123"/>
      <c r="E877" s="123"/>
      <c r="F877" s="123"/>
      <c r="G877" s="127" t="s">
        <v>210</v>
      </c>
      <c r="H877" s="128">
        <v>2004</v>
      </c>
      <c r="I877" s="128" t="s">
        <v>1860</v>
      </c>
      <c r="J877" s="128">
        <f t="shared" si="26"/>
        <v>22</v>
      </c>
      <c r="K877" s="128" t="s">
        <v>2061</v>
      </c>
      <c r="L877" s="128" t="s">
        <v>40</v>
      </c>
      <c r="M877" s="129" t="s">
        <v>201</v>
      </c>
      <c r="N877" s="129" t="s">
        <v>28</v>
      </c>
      <c r="O877" s="129" t="s">
        <v>28</v>
      </c>
      <c r="P877" s="129" t="str">
        <f t="shared" si="27"/>
        <v>N/A</v>
      </c>
      <c r="Q877" s="128" t="s">
        <v>2062</v>
      </c>
      <c r="R877" s="128">
        <v>9.27</v>
      </c>
      <c r="S877" s="128">
        <v>21.55</v>
      </c>
      <c r="T877" s="130" t="s">
        <v>1069</v>
      </c>
      <c r="U877" s="154" t="s">
        <v>2051</v>
      </c>
    </row>
    <row r="878" spans="1:21" ht="15.75" hidden="1" thickBot="1">
      <c r="A878" s="45">
        <v>1241</v>
      </c>
      <c r="B878" s="123"/>
      <c r="C878" s="123"/>
      <c r="D878" s="123"/>
      <c r="E878" s="123"/>
      <c r="F878" s="123"/>
      <c r="G878" s="127" t="s">
        <v>210</v>
      </c>
      <c r="H878" s="128">
        <v>2004</v>
      </c>
      <c r="I878" s="128" t="s">
        <v>1860</v>
      </c>
      <c r="J878" s="128">
        <f t="shared" si="26"/>
        <v>22</v>
      </c>
      <c r="K878" s="128" t="s">
        <v>2063</v>
      </c>
      <c r="L878" s="128" t="s">
        <v>30</v>
      </c>
      <c r="M878" s="129" t="s">
        <v>31</v>
      </c>
      <c r="N878" s="129" t="s">
        <v>28</v>
      </c>
      <c r="O878" s="129" t="s">
        <v>28</v>
      </c>
      <c r="P878" s="129" t="str">
        <f t="shared" si="27"/>
        <v>N/A</v>
      </c>
      <c r="Q878" s="128" t="s">
        <v>2064</v>
      </c>
      <c r="R878" s="128">
        <v>2.46</v>
      </c>
      <c r="S878" s="128">
        <v>0</v>
      </c>
      <c r="T878" s="130" t="s">
        <v>31</v>
      </c>
      <c r="U878" s="154" t="s">
        <v>2051</v>
      </c>
    </row>
    <row r="879" spans="1:21" ht="15.75" hidden="1" thickBot="1">
      <c r="A879" s="45">
        <v>1241</v>
      </c>
      <c r="B879" s="123"/>
      <c r="C879" s="123"/>
      <c r="D879" s="123"/>
      <c r="E879" s="123"/>
      <c r="F879" s="123"/>
      <c r="G879" s="127" t="s">
        <v>210</v>
      </c>
      <c r="H879" s="128">
        <v>2004</v>
      </c>
      <c r="I879" s="128" t="s">
        <v>1860</v>
      </c>
      <c r="J879" s="128">
        <f t="shared" si="26"/>
        <v>22</v>
      </c>
      <c r="K879" s="128" t="s">
        <v>2065</v>
      </c>
      <c r="L879" s="128" t="s">
        <v>30</v>
      </c>
      <c r="M879" s="129" t="s">
        <v>31</v>
      </c>
      <c r="N879" s="129" t="s">
        <v>28</v>
      </c>
      <c r="O879" s="129" t="s">
        <v>28</v>
      </c>
      <c r="P879" s="129" t="str">
        <f t="shared" si="27"/>
        <v>N/A</v>
      </c>
      <c r="Q879" s="138" t="s">
        <v>2066</v>
      </c>
      <c r="R879" s="128">
        <v>8.6</v>
      </c>
      <c r="S879" s="128">
        <v>0</v>
      </c>
      <c r="T879" s="130" t="s">
        <v>31</v>
      </c>
      <c r="U879" s="154" t="s">
        <v>2051</v>
      </c>
    </row>
    <row r="880" spans="1:21" ht="15.75" hidden="1" thickBot="1">
      <c r="A880" s="45">
        <v>1241</v>
      </c>
      <c r="B880" s="123"/>
      <c r="C880" s="123"/>
      <c r="D880" s="123"/>
      <c r="E880" s="123"/>
      <c r="F880" s="123"/>
      <c r="G880" s="127" t="s">
        <v>210</v>
      </c>
      <c r="H880" s="128">
        <v>2004</v>
      </c>
      <c r="I880" s="128" t="s">
        <v>1860</v>
      </c>
      <c r="J880" s="128">
        <f t="shared" si="26"/>
        <v>22</v>
      </c>
      <c r="K880" s="128" t="s">
        <v>2067</v>
      </c>
      <c r="L880" s="128" t="s">
        <v>30</v>
      </c>
      <c r="M880" s="129" t="s">
        <v>31</v>
      </c>
      <c r="N880" s="129" t="s">
        <v>28</v>
      </c>
      <c r="O880" s="129" t="s">
        <v>28</v>
      </c>
      <c r="P880" s="129" t="str">
        <f t="shared" si="27"/>
        <v>N/A</v>
      </c>
      <c r="Q880" s="128" t="s">
        <v>2068</v>
      </c>
      <c r="R880" s="128">
        <v>0.25</v>
      </c>
      <c r="S880" s="128">
        <v>0</v>
      </c>
      <c r="T880" s="130" t="s">
        <v>31</v>
      </c>
      <c r="U880" s="154"/>
    </row>
    <row r="881" spans="1:21" ht="15.75" hidden="1" thickBot="1">
      <c r="A881" s="45">
        <v>1241</v>
      </c>
      <c r="B881" s="123"/>
      <c r="C881" s="123"/>
      <c r="D881" s="123"/>
      <c r="E881" s="123"/>
      <c r="F881" s="123"/>
      <c r="G881" s="127" t="s">
        <v>210</v>
      </c>
      <c r="H881" s="128">
        <v>2004</v>
      </c>
      <c r="I881" s="128" t="s">
        <v>1860</v>
      </c>
      <c r="J881" s="128">
        <f t="shared" si="26"/>
        <v>22</v>
      </c>
      <c r="K881" s="128" t="s">
        <v>2069</v>
      </c>
      <c r="L881" s="128" t="s">
        <v>30</v>
      </c>
      <c r="M881" s="129" t="s">
        <v>1003</v>
      </c>
      <c r="N881" s="129" t="s">
        <v>28</v>
      </c>
      <c r="O881" s="129" t="s">
        <v>28</v>
      </c>
      <c r="P881" s="129" t="str">
        <f t="shared" si="27"/>
        <v>N/A</v>
      </c>
      <c r="Q881" s="144" t="s">
        <v>1004</v>
      </c>
      <c r="R881" s="128">
        <v>0.17</v>
      </c>
      <c r="S881" s="128">
        <v>0</v>
      </c>
      <c r="T881" s="130"/>
      <c r="U881" s="154"/>
    </row>
    <row r="882" spans="1:21" ht="15.75" hidden="1" thickBot="1">
      <c r="A882" s="45">
        <v>1241</v>
      </c>
      <c r="B882" s="123"/>
      <c r="C882" s="123"/>
      <c r="D882" s="123"/>
      <c r="E882" s="123"/>
      <c r="F882" s="123"/>
      <c r="G882" s="127" t="s">
        <v>210</v>
      </c>
      <c r="H882" s="128">
        <v>2004</v>
      </c>
      <c r="I882" s="128" t="s">
        <v>1860</v>
      </c>
      <c r="J882" s="128">
        <f t="shared" si="26"/>
        <v>22</v>
      </c>
      <c r="K882" s="128" t="s">
        <v>2070</v>
      </c>
      <c r="L882" s="157" t="s">
        <v>1672</v>
      </c>
      <c r="M882" s="129" t="s">
        <v>1003</v>
      </c>
      <c r="N882" s="129" t="s">
        <v>28</v>
      </c>
      <c r="O882" s="129" t="s">
        <v>28</v>
      </c>
      <c r="P882" s="129" t="str">
        <f t="shared" si="27"/>
        <v>N/A</v>
      </c>
      <c r="Q882" s="128" t="s">
        <v>1004</v>
      </c>
      <c r="R882" s="128">
        <v>1.87</v>
      </c>
      <c r="S882" s="128">
        <v>0</v>
      </c>
      <c r="T882" s="130"/>
      <c r="U882" s="154" t="s">
        <v>2051</v>
      </c>
    </row>
    <row r="883" spans="1:21" ht="15.75" hidden="1" thickBot="1">
      <c r="A883" s="45">
        <v>1241</v>
      </c>
      <c r="B883" s="123"/>
      <c r="C883" s="123"/>
      <c r="D883" s="123"/>
      <c r="E883" s="123"/>
      <c r="F883" s="123"/>
      <c r="G883" s="127" t="s">
        <v>210</v>
      </c>
      <c r="H883" s="128">
        <v>2004</v>
      </c>
      <c r="I883" s="128" t="s">
        <v>1860</v>
      </c>
      <c r="J883" s="128">
        <f t="shared" si="26"/>
        <v>22</v>
      </c>
      <c r="K883" s="128" t="s">
        <v>1877</v>
      </c>
      <c r="L883" s="128" t="s">
        <v>30</v>
      </c>
      <c r="M883" s="129" t="s">
        <v>31</v>
      </c>
      <c r="N883" s="129" t="s">
        <v>28</v>
      </c>
      <c r="O883" s="129" t="s">
        <v>28</v>
      </c>
      <c r="P883" s="129" t="str">
        <f t="shared" si="27"/>
        <v>N/A</v>
      </c>
      <c r="Q883" s="130"/>
      <c r="R883" s="128">
        <v>0.95</v>
      </c>
      <c r="S883" s="128">
        <v>0</v>
      </c>
      <c r="T883" s="130"/>
      <c r="U883" s="154"/>
    </row>
    <row r="884" spans="1:21" ht="15.75" hidden="1" thickBot="1">
      <c r="A884" s="45">
        <v>1241</v>
      </c>
      <c r="B884" s="123"/>
      <c r="C884" s="123"/>
      <c r="D884" s="123"/>
      <c r="E884" s="123"/>
      <c r="F884" s="123"/>
      <c r="G884" s="127" t="s">
        <v>210</v>
      </c>
      <c r="H884" s="128">
        <v>2004</v>
      </c>
      <c r="I884" s="128" t="s">
        <v>1860</v>
      </c>
      <c r="J884" s="128">
        <f t="shared" si="26"/>
        <v>22</v>
      </c>
      <c r="K884" s="128" t="s">
        <v>2071</v>
      </c>
      <c r="L884" s="128" t="s">
        <v>30</v>
      </c>
      <c r="M884" s="129" t="s">
        <v>31</v>
      </c>
      <c r="N884" s="129" t="s">
        <v>28</v>
      </c>
      <c r="O884" s="129" t="s">
        <v>28</v>
      </c>
      <c r="P884" s="129" t="str">
        <f t="shared" si="27"/>
        <v>N/A</v>
      </c>
      <c r="Q884" s="128" t="s">
        <v>2072</v>
      </c>
      <c r="R884" s="128">
        <v>14.58</v>
      </c>
      <c r="S884" s="128">
        <v>27.85</v>
      </c>
      <c r="T884" s="130" t="s">
        <v>31</v>
      </c>
      <c r="U884" s="154" t="s">
        <v>2051</v>
      </c>
    </row>
    <row r="885" spans="1:21" ht="15.75" hidden="1" thickBot="1">
      <c r="A885" s="45">
        <v>1241</v>
      </c>
      <c r="B885" s="123"/>
      <c r="C885" s="123"/>
      <c r="D885" s="123"/>
      <c r="E885" s="123"/>
      <c r="F885" s="123"/>
      <c r="G885" s="127" t="s">
        <v>210</v>
      </c>
      <c r="H885" s="128">
        <v>2004</v>
      </c>
      <c r="I885" s="128" t="s">
        <v>1860</v>
      </c>
      <c r="J885" s="128">
        <f t="shared" si="26"/>
        <v>22</v>
      </c>
      <c r="K885" s="128" t="s">
        <v>2073</v>
      </c>
      <c r="L885" s="128" t="s">
        <v>30</v>
      </c>
      <c r="M885" s="129" t="s">
        <v>912</v>
      </c>
      <c r="N885" s="129" t="s">
        <v>32</v>
      </c>
      <c r="O885" s="129" t="s">
        <v>28</v>
      </c>
      <c r="P885" s="129" t="str">
        <f t="shared" si="27"/>
        <v>N/A</v>
      </c>
      <c r="Q885" s="130"/>
      <c r="R885" s="128">
        <v>28.4</v>
      </c>
      <c r="S885" s="128">
        <v>50.6</v>
      </c>
      <c r="T885" s="130"/>
      <c r="U885" s="154" t="s">
        <v>2051</v>
      </c>
    </row>
    <row r="886" spans="1:21" ht="15.75" hidden="1" thickBot="1">
      <c r="A886" s="45">
        <v>1241</v>
      </c>
      <c r="B886" s="123"/>
      <c r="C886" s="123"/>
      <c r="D886" s="123"/>
      <c r="E886" s="123"/>
      <c r="F886" s="123"/>
      <c r="G886" s="127" t="s">
        <v>210</v>
      </c>
      <c r="H886" s="128">
        <v>2004</v>
      </c>
      <c r="I886" s="128" t="s">
        <v>1860</v>
      </c>
      <c r="J886" s="128">
        <f t="shared" si="26"/>
        <v>22</v>
      </c>
      <c r="K886" s="128" t="s">
        <v>2074</v>
      </c>
      <c r="L886" s="128" t="s">
        <v>40</v>
      </c>
      <c r="M886" s="129" t="s">
        <v>31</v>
      </c>
      <c r="N886" s="129" t="s">
        <v>28</v>
      </c>
      <c r="O886" s="129" t="s">
        <v>28</v>
      </c>
      <c r="P886" s="129" t="str">
        <f t="shared" si="27"/>
        <v>N/A</v>
      </c>
      <c r="Q886" s="128" t="s">
        <v>2075</v>
      </c>
      <c r="R886" s="128">
        <v>2.78</v>
      </c>
      <c r="S886" s="128">
        <v>0</v>
      </c>
      <c r="T886" s="130" t="s">
        <v>31</v>
      </c>
      <c r="U886" s="154" t="s">
        <v>2051</v>
      </c>
    </row>
    <row r="887" spans="1:21" ht="15.75" hidden="1" thickBot="1">
      <c r="A887" s="45">
        <v>1241</v>
      </c>
      <c r="B887" s="123"/>
      <c r="C887" s="123"/>
      <c r="D887" s="123"/>
      <c r="E887" s="123"/>
      <c r="F887" s="123"/>
      <c r="G887" s="127" t="s">
        <v>210</v>
      </c>
      <c r="H887" s="128">
        <v>2004</v>
      </c>
      <c r="I887" s="128" t="s">
        <v>1860</v>
      </c>
      <c r="J887" s="128">
        <f t="shared" si="26"/>
        <v>22</v>
      </c>
      <c r="K887" s="128" t="s">
        <v>2076</v>
      </c>
      <c r="L887" s="144" t="s">
        <v>30</v>
      </c>
      <c r="M887" s="129" t="s">
        <v>31</v>
      </c>
      <c r="N887" s="129" t="s">
        <v>28</v>
      </c>
      <c r="O887" s="129" t="s">
        <v>28</v>
      </c>
      <c r="P887" s="129" t="str">
        <f t="shared" si="27"/>
        <v>N/A</v>
      </c>
      <c r="Q887" s="144" t="s">
        <v>2077</v>
      </c>
      <c r="R887" s="128">
        <v>1.96</v>
      </c>
      <c r="S887" s="128">
        <v>0</v>
      </c>
      <c r="T887" s="130" t="s">
        <v>31</v>
      </c>
      <c r="U887" s="154" t="s">
        <v>2051</v>
      </c>
    </row>
    <row r="888" spans="1:21" ht="15.75" hidden="1" thickBot="1">
      <c r="A888" s="45">
        <v>1241</v>
      </c>
      <c r="B888" s="123"/>
      <c r="C888" s="123"/>
      <c r="D888" s="123"/>
      <c r="E888" s="123"/>
      <c r="F888" s="123"/>
      <c r="G888" s="127" t="s">
        <v>210</v>
      </c>
      <c r="H888" s="128">
        <v>2004</v>
      </c>
      <c r="I888" s="128" t="s">
        <v>1860</v>
      </c>
      <c r="J888" s="128">
        <f t="shared" si="26"/>
        <v>22</v>
      </c>
      <c r="K888" s="128" t="s">
        <v>2078</v>
      </c>
      <c r="L888" s="128" t="s">
        <v>40</v>
      </c>
      <c r="M888" s="129" t="s">
        <v>1003</v>
      </c>
      <c r="N888" s="129" t="s">
        <v>28</v>
      </c>
      <c r="O888" s="129" t="s">
        <v>28</v>
      </c>
      <c r="P888" s="129" t="str">
        <f t="shared" si="27"/>
        <v>N/A</v>
      </c>
      <c r="Q888" s="144" t="s">
        <v>1004</v>
      </c>
      <c r="R888" s="128">
        <v>0.37</v>
      </c>
      <c r="S888" s="128">
        <v>0</v>
      </c>
      <c r="T888" s="130"/>
      <c r="U888" s="154" t="s">
        <v>2051</v>
      </c>
    </row>
    <row r="889" spans="1:21" ht="15.75" hidden="1" thickBot="1">
      <c r="A889" s="45">
        <v>1242</v>
      </c>
      <c r="B889" s="123"/>
      <c r="C889" s="123"/>
      <c r="D889" s="123"/>
      <c r="E889" s="123"/>
      <c r="F889" s="123"/>
      <c r="G889" s="127" t="s">
        <v>210</v>
      </c>
      <c r="H889" s="128">
        <v>2004</v>
      </c>
      <c r="I889" s="128" t="s">
        <v>1902</v>
      </c>
      <c r="J889" s="128">
        <f t="shared" si="26"/>
        <v>13</v>
      </c>
      <c r="K889" s="128" t="s">
        <v>2079</v>
      </c>
      <c r="L889" s="128" t="s">
        <v>30</v>
      </c>
      <c r="M889" s="129" t="s">
        <v>34</v>
      </c>
      <c r="N889" s="129" t="s">
        <v>28</v>
      </c>
      <c r="O889" s="129" t="s">
        <v>28</v>
      </c>
      <c r="P889" s="129" t="str">
        <f t="shared" si="27"/>
        <v>N/A</v>
      </c>
      <c r="Q889" s="138" t="s">
        <v>2080</v>
      </c>
      <c r="R889" s="128">
        <v>1.61</v>
      </c>
      <c r="S889" s="128">
        <v>0</v>
      </c>
      <c r="T889" s="130" t="s">
        <v>1015</v>
      </c>
      <c r="U889" s="154" t="s">
        <v>1911</v>
      </c>
    </row>
    <row r="890" spans="1:21" ht="15.75" hidden="1" thickBot="1">
      <c r="A890" s="45">
        <v>1242</v>
      </c>
      <c r="B890" s="123"/>
      <c r="C890" s="123"/>
      <c r="D890" s="123"/>
      <c r="E890" s="123"/>
      <c r="F890" s="123"/>
      <c r="G890" s="127" t="s">
        <v>210</v>
      </c>
      <c r="H890" s="128">
        <v>2004</v>
      </c>
      <c r="I890" s="128" t="s">
        <v>1902</v>
      </c>
      <c r="J890" s="128">
        <f t="shared" si="26"/>
        <v>13</v>
      </c>
      <c r="K890" s="128" t="s">
        <v>2081</v>
      </c>
      <c r="L890" s="128" t="s">
        <v>40</v>
      </c>
      <c r="M890" s="129" t="s">
        <v>31</v>
      </c>
      <c r="N890" s="129" t="s">
        <v>28</v>
      </c>
      <c r="O890" s="129" t="s">
        <v>28</v>
      </c>
      <c r="P890" s="129" t="str">
        <f t="shared" si="27"/>
        <v>N/A</v>
      </c>
      <c r="Q890" s="128" t="s">
        <v>2082</v>
      </c>
      <c r="R890" s="128">
        <v>21.46</v>
      </c>
      <c r="S890" s="128">
        <v>43.13</v>
      </c>
      <c r="T890" s="130" t="s">
        <v>31</v>
      </c>
      <c r="U890" s="154" t="s">
        <v>1911</v>
      </c>
    </row>
    <row r="891" spans="1:21" ht="15.75" hidden="1" thickBot="1">
      <c r="A891" s="45">
        <v>1242</v>
      </c>
      <c r="B891" s="123"/>
      <c r="C891" s="123"/>
      <c r="D891" s="123"/>
      <c r="E891" s="123"/>
      <c r="F891" s="123"/>
      <c r="G891" s="127" t="s">
        <v>210</v>
      </c>
      <c r="H891" s="128">
        <v>2004</v>
      </c>
      <c r="I891" s="128" t="s">
        <v>1902</v>
      </c>
      <c r="J891" s="128">
        <f t="shared" si="26"/>
        <v>13</v>
      </c>
      <c r="K891" s="128" t="s">
        <v>2083</v>
      </c>
      <c r="L891" s="128" t="s">
        <v>30</v>
      </c>
      <c r="M891" s="129" t="s">
        <v>31</v>
      </c>
      <c r="N891" s="129" t="s">
        <v>28</v>
      </c>
      <c r="O891" s="129" t="s">
        <v>28</v>
      </c>
      <c r="P891" s="129" t="str">
        <f t="shared" si="27"/>
        <v>N/A</v>
      </c>
      <c r="Q891" s="128" t="s">
        <v>1911</v>
      </c>
      <c r="R891" s="128">
        <v>1.1000000000000001</v>
      </c>
      <c r="S891" s="128">
        <v>0</v>
      </c>
      <c r="T891" s="130" t="s">
        <v>31</v>
      </c>
      <c r="U891" s="154" t="s">
        <v>1911</v>
      </c>
    </row>
    <row r="892" spans="1:21" ht="15.75" hidden="1" thickBot="1">
      <c r="A892" s="45">
        <v>1242</v>
      </c>
      <c r="B892" s="123"/>
      <c r="C892" s="123"/>
      <c r="D892" s="123"/>
      <c r="E892" s="123"/>
      <c r="F892" s="123"/>
      <c r="G892" s="127" t="s">
        <v>210</v>
      </c>
      <c r="H892" s="128">
        <v>2004</v>
      </c>
      <c r="I892" s="128" t="s">
        <v>1902</v>
      </c>
      <c r="J892" s="128">
        <f t="shared" si="26"/>
        <v>13</v>
      </c>
      <c r="K892" s="128" t="s">
        <v>2084</v>
      </c>
      <c r="L892" s="128" t="s">
        <v>30</v>
      </c>
      <c r="M892" s="129" t="s">
        <v>1065</v>
      </c>
      <c r="N892" s="129" t="s">
        <v>28</v>
      </c>
      <c r="O892" s="129" t="s">
        <v>28</v>
      </c>
      <c r="P892" s="129" t="str">
        <f t="shared" si="27"/>
        <v>N/A</v>
      </c>
      <c r="Q892" s="128" t="s">
        <v>2085</v>
      </c>
      <c r="R892" s="128">
        <v>8.09</v>
      </c>
      <c r="S892" s="128">
        <v>0</v>
      </c>
      <c r="T892" s="130" t="s">
        <v>1015</v>
      </c>
      <c r="U892" s="154" t="s">
        <v>1911</v>
      </c>
    </row>
    <row r="893" spans="1:21" ht="15.75" hidden="1" thickBot="1">
      <c r="A893" s="45">
        <v>1242</v>
      </c>
      <c r="B893" s="123"/>
      <c r="C893" s="123"/>
      <c r="D893" s="123"/>
      <c r="E893" s="123"/>
      <c r="F893" s="123"/>
      <c r="G893" s="127" t="s">
        <v>210</v>
      </c>
      <c r="H893" s="128">
        <v>2004</v>
      </c>
      <c r="I893" s="128" t="s">
        <v>1902</v>
      </c>
      <c r="J893" s="128">
        <f t="shared" si="26"/>
        <v>13</v>
      </c>
      <c r="K893" s="128" t="s">
        <v>2086</v>
      </c>
      <c r="L893" s="128" t="s">
        <v>30</v>
      </c>
      <c r="M893" s="129" t="s">
        <v>34</v>
      </c>
      <c r="N893" s="129" t="s">
        <v>28</v>
      </c>
      <c r="O893" s="129" t="s">
        <v>28</v>
      </c>
      <c r="P893" s="129" t="str">
        <f t="shared" si="27"/>
        <v>N/A</v>
      </c>
      <c r="Q893" s="132" t="s">
        <v>2087</v>
      </c>
      <c r="R893" s="128">
        <v>8.6199999999999992</v>
      </c>
      <c r="S893" s="128">
        <v>0</v>
      </c>
      <c r="T893" s="130" t="s">
        <v>998</v>
      </c>
      <c r="U893" s="154" t="s">
        <v>1911</v>
      </c>
    </row>
    <row r="894" spans="1:21" ht="15.75" hidden="1" thickBot="1">
      <c r="A894" s="45">
        <v>1242</v>
      </c>
      <c r="B894" s="123"/>
      <c r="C894" s="123"/>
      <c r="D894" s="123"/>
      <c r="E894" s="123"/>
      <c r="F894" s="123"/>
      <c r="G894" s="127" t="s">
        <v>210</v>
      </c>
      <c r="H894" s="128">
        <v>2004</v>
      </c>
      <c r="I894" s="128" t="s">
        <v>1902</v>
      </c>
      <c r="J894" s="128">
        <f t="shared" si="26"/>
        <v>13</v>
      </c>
      <c r="K894" s="128" t="s">
        <v>2088</v>
      </c>
      <c r="L894" s="128" t="s">
        <v>30</v>
      </c>
      <c r="M894" s="129" t="s">
        <v>31</v>
      </c>
      <c r="N894" s="129" t="s">
        <v>28</v>
      </c>
      <c r="O894" s="129" t="s">
        <v>28</v>
      </c>
      <c r="P894" s="129" t="str">
        <f t="shared" si="27"/>
        <v>N/A</v>
      </c>
      <c r="Q894" s="128" t="s">
        <v>1911</v>
      </c>
      <c r="R894" s="128">
        <v>3.07</v>
      </c>
      <c r="S894" s="128">
        <v>0</v>
      </c>
      <c r="T894" s="130" t="s">
        <v>31</v>
      </c>
      <c r="U894" s="154"/>
    </row>
    <row r="895" spans="1:21" ht="15.75" hidden="1" thickBot="1">
      <c r="A895" s="45">
        <v>1242</v>
      </c>
      <c r="B895" s="123"/>
      <c r="C895" s="123"/>
      <c r="D895" s="123"/>
      <c r="E895" s="123"/>
      <c r="F895" s="123"/>
      <c r="G895" s="127" t="s">
        <v>210</v>
      </c>
      <c r="H895" s="128">
        <v>2004</v>
      </c>
      <c r="I895" s="128" t="s">
        <v>1902</v>
      </c>
      <c r="J895" s="128">
        <f t="shared" si="26"/>
        <v>13</v>
      </c>
      <c r="K895" s="128" t="s">
        <v>2089</v>
      </c>
      <c r="L895" s="128" t="s">
        <v>30</v>
      </c>
      <c r="M895" s="129" t="s">
        <v>31</v>
      </c>
      <c r="N895" s="129" t="s">
        <v>28</v>
      </c>
      <c r="O895" s="129" t="s">
        <v>28</v>
      </c>
      <c r="P895" s="129" t="str">
        <f t="shared" si="27"/>
        <v>N/A</v>
      </c>
      <c r="Q895" s="128" t="s">
        <v>1911</v>
      </c>
      <c r="R895" s="128">
        <v>7.48</v>
      </c>
      <c r="S895" s="128">
        <v>0</v>
      </c>
      <c r="T895" s="130" t="s">
        <v>31</v>
      </c>
      <c r="U895" s="154"/>
    </row>
    <row r="896" spans="1:21" ht="15.75" hidden="1" thickBot="1">
      <c r="A896" s="45">
        <v>1242</v>
      </c>
      <c r="B896" s="123"/>
      <c r="C896" s="123"/>
      <c r="D896" s="123"/>
      <c r="E896" s="123"/>
      <c r="F896" s="123"/>
      <c r="G896" s="127" t="s">
        <v>210</v>
      </c>
      <c r="H896" s="128">
        <v>2004</v>
      </c>
      <c r="I896" s="128" t="s">
        <v>1902</v>
      </c>
      <c r="J896" s="128">
        <f t="shared" si="26"/>
        <v>13</v>
      </c>
      <c r="K896" s="128" t="s">
        <v>2090</v>
      </c>
      <c r="L896" s="128" t="s">
        <v>30</v>
      </c>
      <c r="M896" s="129" t="s">
        <v>31</v>
      </c>
      <c r="N896" s="129" t="s">
        <v>28</v>
      </c>
      <c r="O896" s="129" t="s">
        <v>28</v>
      </c>
      <c r="P896" s="129" t="str">
        <f t="shared" si="27"/>
        <v>N/A</v>
      </c>
      <c r="Q896" s="128" t="s">
        <v>2091</v>
      </c>
      <c r="R896" s="128">
        <v>2.41</v>
      </c>
      <c r="S896" s="128">
        <v>0</v>
      </c>
      <c r="T896" s="130" t="s">
        <v>31</v>
      </c>
      <c r="U896" s="154" t="s">
        <v>1911</v>
      </c>
    </row>
    <row r="897" spans="1:21" ht="15.75" hidden="1" thickBot="1">
      <c r="A897" s="45">
        <v>1242</v>
      </c>
      <c r="B897" s="123"/>
      <c r="C897" s="123"/>
      <c r="D897" s="123"/>
      <c r="E897" s="123"/>
      <c r="F897" s="123"/>
      <c r="G897" s="127" t="s">
        <v>210</v>
      </c>
      <c r="H897" s="128">
        <v>2004</v>
      </c>
      <c r="I897" s="128" t="s">
        <v>1902</v>
      </c>
      <c r="J897" s="128">
        <f t="shared" si="26"/>
        <v>13</v>
      </c>
      <c r="K897" s="128" t="s">
        <v>2092</v>
      </c>
      <c r="L897" s="128" t="s">
        <v>30</v>
      </c>
      <c r="M897" s="129" t="s">
        <v>31</v>
      </c>
      <c r="N897" s="129" t="s">
        <v>32</v>
      </c>
      <c r="O897" s="129" t="s">
        <v>28</v>
      </c>
      <c r="P897" s="129" t="str">
        <f t="shared" si="27"/>
        <v>N/A</v>
      </c>
      <c r="Q897" s="130"/>
      <c r="R897" s="128">
        <v>33.229999999999997</v>
      </c>
      <c r="S897" s="128">
        <v>56.87</v>
      </c>
      <c r="T897" s="130"/>
      <c r="U897" s="154" t="s">
        <v>1911</v>
      </c>
    </row>
    <row r="898" spans="1:21" ht="15.75" hidden="1" thickBot="1">
      <c r="A898" s="45">
        <v>1242</v>
      </c>
      <c r="B898" s="123"/>
      <c r="C898" s="123"/>
      <c r="D898" s="123"/>
      <c r="E898" s="123"/>
      <c r="F898" s="123"/>
      <c r="G898" s="127" t="s">
        <v>210</v>
      </c>
      <c r="H898" s="128">
        <v>2004</v>
      </c>
      <c r="I898" s="128" t="s">
        <v>1902</v>
      </c>
      <c r="J898" s="128">
        <f t="shared" ref="J898:J961" si="28">COUNTIF(A$2:A$2215, A898)</f>
        <v>13</v>
      </c>
      <c r="K898" s="128" t="s">
        <v>2093</v>
      </c>
      <c r="L898" s="128" t="s">
        <v>30</v>
      </c>
      <c r="M898" s="129" t="s">
        <v>31</v>
      </c>
      <c r="N898" s="129" t="s">
        <v>28</v>
      </c>
      <c r="O898" s="129" t="s">
        <v>28</v>
      </c>
      <c r="P898" s="129" t="str">
        <f t="shared" si="27"/>
        <v>N/A</v>
      </c>
      <c r="Q898" s="128" t="s">
        <v>2094</v>
      </c>
      <c r="R898" s="128">
        <v>3.5</v>
      </c>
      <c r="S898" s="128">
        <v>0</v>
      </c>
      <c r="T898" s="130" t="s">
        <v>31</v>
      </c>
      <c r="U898" s="154" t="s">
        <v>1911</v>
      </c>
    </row>
    <row r="899" spans="1:21" ht="15.75" hidden="1" thickBot="1">
      <c r="A899" s="45">
        <v>1242</v>
      </c>
      <c r="B899" s="123"/>
      <c r="C899" s="123"/>
      <c r="D899" s="123"/>
      <c r="E899" s="123"/>
      <c r="F899" s="123"/>
      <c r="G899" s="127" t="s">
        <v>210</v>
      </c>
      <c r="H899" s="128">
        <v>2004</v>
      </c>
      <c r="I899" s="128" t="s">
        <v>1902</v>
      </c>
      <c r="J899" s="128">
        <f t="shared" si="28"/>
        <v>13</v>
      </c>
      <c r="K899" s="128" t="s">
        <v>2095</v>
      </c>
      <c r="L899" s="128" t="s">
        <v>40</v>
      </c>
      <c r="M899" s="129" t="s">
        <v>34</v>
      </c>
      <c r="N899" s="129" t="s">
        <v>28</v>
      </c>
      <c r="O899" s="129" t="s">
        <v>28</v>
      </c>
      <c r="P899" s="129" t="str">
        <f t="shared" ref="P899:P962" si="29">IF(O899="N", "N/A", IF(AND(N899="N",  O899="Y"), "N", IF(AND(O899="Y", N899="Y"), "Y", "")))</f>
        <v>N/A</v>
      </c>
      <c r="Q899" s="128" t="s">
        <v>2096</v>
      </c>
      <c r="R899" s="128">
        <v>1.1100000000000001</v>
      </c>
      <c r="S899" s="128">
        <v>0</v>
      </c>
      <c r="T899" s="130" t="s">
        <v>1069</v>
      </c>
      <c r="U899" s="154" t="s">
        <v>1911</v>
      </c>
    </row>
    <row r="900" spans="1:21" ht="15.75" hidden="1" thickBot="1">
      <c r="A900" s="45">
        <v>1242</v>
      </c>
      <c r="B900" s="123"/>
      <c r="C900" s="123"/>
      <c r="D900" s="123"/>
      <c r="E900" s="123"/>
      <c r="F900" s="123"/>
      <c r="G900" s="127" t="s">
        <v>210</v>
      </c>
      <c r="H900" s="128">
        <v>2004</v>
      </c>
      <c r="I900" s="128" t="s">
        <v>1902</v>
      </c>
      <c r="J900" s="128">
        <f t="shared" si="28"/>
        <v>13</v>
      </c>
      <c r="K900" s="128" t="s">
        <v>2097</v>
      </c>
      <c r="L900" s="128" t="s">
        <v>40</v>
      </c>
      <c r="M900" s="129" t="s">
        <v>31</v>
      </c>
      <c r="N900" s="129" t="s">
        <v>28</v>
      </c>
      <c r="O900" s="129" t="s">
        <v>28</v>
      </c>
      <c r="P900" s="129" t="str">
        <f t="shared" si="29"/>
        <v>N/A</v>
      </c>
      <c r="Q900" s="128" t="s">
        <v>1911</v>
      </c>
      <c r="R900" s="128">
        <v>1.72</v>
      </c>
      <c r="S900" s="128">
        <v>0</v>
      </c>
      <c r="T900" s="130" t="s">
        <v>31</v>
      </c>
      <c r="U900" s="154" t="s">
        <v>1911</v>
      </c>
    </row>
    <row r="901" spans="1:21" ht="15.75" hidden="1" thickBot="1">
      <c r="A901" s="45">
        <v>1242</v>
      </c>
      <c r="B901" s="123"/>
      <c r="C901" s="123"/>
      <c r="D901" s="123"/>
      <c r="E901" s="123"/>
      <c r="F901" s="123"/>
      <c r="G901" s="127" t="s">
        <v>210</v>
      </c>
      <c r="H901" s="128">
        <v>2004</v>
      </c>
      <c r="I901" s="128" t="s">
        <v>1902</v>
      </c>
      <c r="J901" s="128">
        <f t="shared" si="28"/>
        <v>13</v>
      </c>
      <c r="K901" s="128" t="s">
        <v>2098</v>
      </c>
      <c r="L901" s="128" t="s">
        <v>30</v>
      </c>
      <c r="M901" s="129" t="s">
        <v>201</v>
      </c>
      <c r="N901" s="129" t="s">
        <v>28</v>
      </c>
      <c r="O901" s="129" t="s">
        <v>28</v>
      </c>
      <c r="P901" s="129" t="str">
        <f t="shared" si="29"/>
        <v>N/A</v>
      </c>
      <c r="Q901" s="128" t="s">
        <v>1911</v>
      </c>
      <c r="R901" s="128">
        <v>6.6</v>
      </c>
      <c r="S901" s="128">
        <v>0</v>
      </c>
      <c r="T901" s="130" t="s">
        <v>998</v>
      </c>
      <c r="U901" s="158" t="s">
        <v>2099</v>
      </c>
    </row>
    <row r="902" spans="1:21" ht="15.75" hidden="1" thickBot="1">
      <c r="A902" s="45">
        <v>1243</v>
      </c>
      <c r="B902" s="123"/>
      <c r="C902" s="123"/>
      <c r="D902" s="123"/>
      <c r="E902" s="123"/>
      <c r="F902" s="123"/>
      <c r="G902" s="127" t="s">
        <v>210</v>
      </c>
      <c r="H902" s="159">
        <v>2004</v>
      </c>
      <c r="I902" s="159" t="s">
        <v>1922</v>
      </c>
      <c r="J902" s="128">
        <f t="shared" si="28"/>
        <v>7</v>
      </c>
      <c r="K902" s="159" t="s">
        <v>2100</v>
      </c>
      <c r="L902" s="159" t="s">
        <v>30</v>
      </c>
      <c r="M902" s="160" t="s">
        <v>1003</v>
      </c>
      <c r="N902" s="129" t="s">
        <v>28</v>
      </c>
      <c r="O902" s="160" t="s">
        <v>28</v>
      </c>
      <c r="P902" s="129" t="str">
        <f t="shared" si="29"/>
        <v>N/A</v>
      </c>
      <c r="Q902" s="159" t="s">
        <v>1004</v>
      </c>
      <c r="R902" s="159">
        <v>7.0000000000000007E-2</v>
      </c>
      <c r="S902" s="130"/>
      <c r="T902" s="130"/>
      <c r="U902" s="154"/>
    </row>
    <row r="903" spans="1:21" ht="15.75" hidden="1" thickBot="1">
      <c r="A903" s="45">
        <v>1243</v>
      </c>
      <c r="B903" s="123"/>
      <c r="C903" s="123"/>
      <c r="D903" s="123"/>
      <c r="E903" s="123"/>
      <c r="F903" s="123"/>
      <c r="G903" s="127" t="s">
        <v>210</v>
      </c>
      <c r="H903" s="128">
        <v>2004</v>
      </c>
      <c r="I903" s="128" t="s">
        <v>1922</v>
      </c>
      <c r="J903" s="128">
        <f t="shared" si="28"/>
        <v>7</v>
      </c>
      <c r="K903" s="128" t="s">
        <v>2101</v>
      </c>
      <c r="L903" s="128" t="s">
        <v>30</v>
      </c>
      <c r="M903" s="129" t="s">
        <v>1003</v>
      </c>
      <c r="N903" s="129" t="s">
        <v>28</v>
      </c>
      <c r="O903" s="129" t="s">
        <v>28</v>
      </c>
      <c r="P903" s="129" t="str">
        <f t="shared" si="29"/>
        <v>N/A</v>
      </c>
      <c r="Q903" s="128" t="s">
        <v>1004</v>
      </c>
      <c r="R903" s="128">
        <v>2.3199999999999998</v>
      </c>
      <c r="S903" s="130"/>
      <c r="T903" s="130"/>
      <c r="U903" s="154"/>
    </row>
    <row r="904" spans="1:21" ht="39" hidden="1" thickBot="1">
      <c r="A904" s="45">
        <v>1243</v>
      </c>
      <c r="B904" s="123"/>
      <c r="C904" s="123"/>
      <c r="D904" s="123"/>
      <c r="E904" s="123"/>
      <c r="F904" s="123"/>
      <c r="G904" s="127" t="s">
        <v>210</v>
      </c>
      <c r="H904" s="128">
        <v>2004</v>
      </c>
      <c r="I904" s="128" t="s">
        <v>1922</v>
      </c>
      <c r="J904" s="128">
        <f t="shared" si="28"/>
        <v>7</v>
      </c>
      <c r="K904" s="128" t="s">
        <v>1772</v>
      </c>
      <c r="L904" s="128" t="s">
        <v>40</v>
      </c>
      <c r="M904" s="129" t="s">
        <v>1065</v>
      </c>
      <c r="N904" s="129" t="s">
        <v>28</v>
      </c>
      <c r="O904" s="129" t="s">
        <v>28</v>
      </c>
      <c r="P904" s="129" t="str">
        <f t="shared" si="29"/>
        <v>N/A</v>
      </c>
      <c r="Q904" s="128" t="s">
        <v>2102</v>
      </c>
      <c r="R904" s="128">
        <v>4.12</v>
      </c>
      <c r="S904" s="130"/>
      <c r="T904" s="130" t="s">
        <v>2103</v>
      </c>
      <c r="U904" s="154"/>
    </row>
    <row r="905" spans="1:21" ht="15.75" hidden="1" thickBot="1">
      <c r="A905" s="45">
        <v>1243</v>
      </c>
      <c r="B905" s="123"/>
      <c r="C905" s="123"/>
      <c r="D905" s="123"/>
      <c r="E905" s="123"/>
      <c r="F905" s="123"/>
      <c r="G905" s="127" t="s">
        <v>210</v>
      </c>
      <c r="H905" s="128">
        <v>2004</v>
      </c>
      <c r="I905" s="128" t="s">
        <v>1922</v>
      </c>
      <c r="J905" s="128">
        <f t="shared" si="28"/>
        <v>7</v>
      </c>
      <c r="K905" s="128" t="s">
        <v>2104</v>
      </c>
      <c r="L905" s="128" t="s">
        <v>30</v>
      </c>
      <c r="M905" s="129" t="s">
        <v>1065</v>
      </c>
      <c r="N905" s="129" t="s">
        <v>28</v>
      </c>
      <c r="O905" s="129" t="s">
        <v>28</v>
      </c>
      <c r="P905" s="129" t="str">
        <f t="shared" si="29"/>
        <v>N/A</v>
      </c>
      <c r="Q905" s="128" t="s">
        <v>2105</v>
      </c>
      <c r="R905" s="128">
        <v>17.46</v>
      </c>
      <c r="S905" s="130"/>
      <c r="T905" s="130" t="s">
        <v>1069</v>
      </c>
      <c r="U905" s="154"/>
    </row>
    <row r="906" spans="1:21" ht="15.75" hidden="1" thickBot="1">
      <c r="A906" s="45">
        <v>1243</v>
      </c>
      <c r="B906" s="123"/>
      <c r="C906" s="123"/>
      <c r="D906" s="123"/>
      <c r="E906" s="123"/>
      <c r="F906" s="123"/>
      <c r="G906" s="127" t="s">
        <v>210</v>
      </c>
      <c r="H906" s="128">
        <v>2004</v>
      </c>
      <c r="I906" s="128" t="s">
        <v>1922</v>
      </c>
      <c r="J906" s="128">
        <f t="shared" si="28"/>
        <v>7</v>
      </c>
      <c r="K906" s="128" t="s">
        <v>2106</v>
      </c>
      <c r="L906" s="128" t="s">
        <v>40</v>
      </c>
      <c r="M906" s="129" t="s">
        <v>1065</v>
      </c>
      <c r="N906" s="129" t="s">
        <v>28</v>
      </c>
      <c r="O906" s="129" t="s">
        <v>28</v>
      </c>
      <c r="P906" s="129" t="str">
        <f t="shared" si="29"/>
        <v>N/A</v>
      </c>
      <c r="Q906" s="128" t="s">
        <v>2107</v>
      </c>
      <c r="R906" s="128">
        <v>22.08</v>
      </c>
      <c r="S906" s="130"/>
      <c r="T906" s="130" t="s">
        <v>1015</v>
      </c>
      <c r="U906" s="154" t="s">
        <v>2108</v>
      </c>
    </row>
    <row r="907" spans="1:21" ht="15.75" hidden="1" thickBot="1">
      <c r="A907" s="45">
        <v>1243</v>
      </c>
      <c r="B907" s="123"/>
      <c r="C907" s="123"/>
      <c r="D907" s="123"/>
      <c r="E907" s="123"/>
      <c r="F907" s="123"/>
      <c r="G907" s="127" t="s">
        <v>210</v>
      </c>
      <c r="H907" s="128">
        <v>2004</v>
      </c>
      <c r="I907" s="128" t="s">
        <v>1922</v>
      </c>
      <c r="J907" s="128">
        <f t="shared" si="28"/>
        <v>7</v>
      </c>
      <c r="K907" s="128" t="s">
        <v>2109</v>
      </c>
      <c r="L907" s="128" t="s">
        <v>30</v>
      </c>
      <c r="M907" s="129" t="s">
        <v>31</v>
      </c>
      <c r="N907" s="129" t="s">
        <v>28</v>
      </c>
      <c r="O907" s="129" t="s">
        <v>28</v>
      </c>
      <c r="P907" s="129" t="str">
        <f t="shared" si="29"/>
        <v>N/A</v>
      </c>
      <c r="Q907" s="128" t="s">
        <v>2110</v>
      </c>
      <c r="R907" s="128">
        <v>3.23</v>
      </c>
      <c r="S907" s="130"/>
      <c r="T907" s="130" t="s">
        <v>31</v>
      </c>
      <c r="U907" s="154" t="s">
        <v>2111</v>
      </c>
    </row>
    <row r="908" spans="1:21" ht="15.75" hidden="1" thickBot="1">
      <c r="A908" s="45">
        <v>1243</v>
      </c>
      <c r="B908" s="123"/>
      <c r="C908" s="123"/>
      <c r="D908" s="123"/>
      <c r="E908" s="123"/>
      <c r="F908" s="123"/>
      <c r="G908" s="127" t="s">
        <v>210</v>
      </c>
      <c r="H908" s="128">
        <v>2004</v>
      </c>
      <c r="I908" s="128" t="s">
        <v>1922</v>
      </c>
      <c r="J908" s="128">
        <f t="shared" si="28"/>
        <v>7</v>
      </c>
      <c r="K908" s="128" t="s">
        <v>264</v>
      </c>
      <c r="L908" s="128" t="s">
        <v>30</v>
      </c>
      <c r="M908" s="129" t="s">
        <v>31</v>
      </c>
      <c r="N908" s="129" t="s">
        <v>32</v>
      </c>
      <c r="O908" s="129" t="s">
        <v>32</v>
      </c>
      <c r="P908" s="129" t="str">
        <f t="shared" si="29"/>
        <v>Y</v>
      </c>
      <c r="Q908" s="132" t="s">
        <v>2112</v>
      </c>
      <c r="R908" s="128">
        <v>50.73</v>
      </c>
      <c r="S908" s="130"/>
      <c r="T908" s="130" t="s">
        <v>31</v>
      </c>
      <c r="U908" s="154"/>
    </row>
    <row r="909" spans="1:21" ht="15.75" hidden="1" thickBot="1">
      <c r="A909" s="45">
        <v>1244</v>
      </c>
      <c r="B909" s="123"/>
      <c r="C909" s="123"/>
      <c r="D909" s="123"/>
      <c r="E909" s="123"/>
      <c r="F909" s="123"/>
      <c r="G909" s="127" t="s">
        <v>210</v>
      </c>
      <c r="H909" s="128">
        <v>2004</v>
      </c>
      <c r="I909" s="128" t="s">
        <v>1949</v>
      </c>
      <c r="J909" s="128">
        <f t="shared" si="28"/>
        <v>8</v>
      </c>
      <c r="K909" s="128" t="s">
        <v>2113</v>
      </c>
      <c r="L909" s="128" t="s">
        <v>40</v>
      </c>
      <c r="M909" s="129" t="s">
        <v>201</v>
      </c>
      <c r="N909" s="129" t="s">
        <v>28</v>
      </c>
      <c r="O909" s="129" t="s">
        <v>28</v>
      </c>
      <c r="P909" s="129" t="str">
        <f t="shared" si="29"/>
        <v>N/A</v>
      </c>
      <c r="Q909" s="128" t="s">
        <v>2114</v>
      </c>
      <c r="R909" s="128">
        <v>12.1</v>
      </c>
      <c r="S909" s="130"/>
      <c r="T909" s="130" t="s">
        <v>998</v>
      </c>
      <c r="U909" s="154" t="s">
        <v>2115</v>
      </c>
    </row>
    <row r="910" spans="1:21" ht="15.75" hidden="1" thickBot="1">
      <c r="A910" s="45">
        <v>1244</v>
      </c>
      <c r="B910" s="123"/>
      <c r="C910" s="123"/>
      <c r="D910" s="123"/>
      <c r="E910" s="123"/>
      <c r="F910" s="123"/>
      <c r="G910" s="127" t="s">
        <v>210</v>
      </c>
      <c r="H910" s="159">
        <v>2004</v>
      </c>
      <c r="I910" s="159" t="s">
        <v>1949</v>
      </c>
      <c r="J910" s="128">
        <f t="shared" si="28"/>
        <v>8</v>
      </c>
      <c r="K910" s="159" t="s">
        <v>2116</v>
      </c>
      <c r="L910" s="159" t="s">
        <v>1672</v>
      </c>
      <c r="M910" s="160" t="s">
        <v>1003</v>
      </c>
      <c r="N910" s="129" t="s">
        <v>28</v>
      </c>
      <c r="O910" s="129" t="s">
        <v>28</v>
      </c>
      <c r="P910" s="129" t="str">
        <f t="shared" si="29"/>
        <v>N/A</v>
      </c>
      <c r="Q910" s="159" t="s">
        <v>1004</v>
      </c>
      <c r="R910" s="159">
        <v>1.33</v>
      </c>
      <c r="S910" s="130"/>
      <c r="T910" s="130"/>
      <c r="U910" s="154"/>
    </row>
    <row r="911" spans="1:21" ht="15.75" hidden="1" thickBot="1">
      <c r="A911" s="45">
        <v>1244</v>
      </c>
      <c r="B911" s="123"/>
      <c r="C911" s="123"/>
      <c r="D911" s="123"/>
      <c r="E911" s="123"/>
      <c r="F911" s="123"/>
      <c r="G911" s="127" t="s">
        <v>210</v>
      </c>
      <c r="H911" s="128">
        <v>2004</v>
      </c>
      <c r="I911" s="128" t="s">
        <v>1949</v>
      </c>
      <c r="J911" s="128">
        <f t="shared" si="28"/>
        <v>8</v>
      </c>
      <c r="K911" s="128" t="s">
        <v>265</v>
      </c>
      <c r="L911" s="128" t="s">
        <v>30</v>
      </c>
      <c r="M911" s="129" t="s">
        <v>1065</v>
      </c>
      <c r="N911" s="129" t="s">
        <v>32</v>
      </c>
      <c r="O911" s="129" t="s">
        <v>32</v>
      </c>
      <c r="P911" s="129" t="str">
        <f t="shared" si="29"/>
        <v>Y</v>
      </c>
      <c r="Q911" s="132" t="s">
        <v>2117</v>
      </c>
      <c r="R911" s="128">
        <v>32.24</v>
      </c>
      <c r="S911" s="128">
        <v>58.33</v>
      </c>
      <c r="T911" s="130"/>
      <c r="U911" s="154"/>
    </row>
    <row r="912" spans="1:21" ht="15.75" hidden="1" thickBot="1">
      <c r="A912" s="45">
        <v>1244</v>
      </c>
      <c r="B912" s="123"/>
      <c r="C912" s="123"/>
      <c r="D912" s="123"/>
      <c r="E912" s="123"/>
      <c r="F912" s="123"/>
      <c r="G912" s="127" t="s">
        <v>210</v>
      </c>
      <c r="H912" s="128">
        <v>2004</v>
      </c>
      <c r="I912" s="128" t="s">
        <v>1949</v>
      </c>
      <c r="J912" s="128">
        <f t="shared" si="28"/>
        <v>8</v>
      </c>
      <c r="K912" s="128" t="s">
        <v>287</v>
      </c>
      <c r="L912" s="128" t="s">
        <v>30</v>
      </c>
      <c r="M912" s="129" t="s">
        <v>1065</v>
      </c>
      <c r="N912" s="129" t="s">
        <v>28</v>
      </c>
      <c r="O912" s="129" t="s">
        <v>28</v>
      </c>
      <c r="P912" s="129" t="str">
        <f t="shared" si="29"/>
        <v>N/A</v>
      </c>
      <c r="Q912" s="128" t="s">
        <v>2118</v>
      </c>
      <c r="R912" s="128">
        <v>12.38</v>
      </c>
      <c r="S912" s="130"/>
      <c r="T912" s="130" t="s">
        <v>1069</v>
      </c>
      <c r="U912" s="154" t="s">
        <v>1958</v>
      </c>
    </row>
    <row r="913" spans="1:21" ht="15.75" hidden="1" thickBot="1">
      <c r="A913" s="45">
        <v>1244</v>
      </c>
      <c r="B913" s="123"/>
      <c r="C913" s="123"/>
      <c r="D913" s="123"/>
      <c r="E913" s="123"/>
      <c r="F913" s="123"/>
      <c r="G913" s="127" t="s">
        <v>210</v>
      </c>
      <c r="H913" s="128">
        <v>2004</v>
      </c>
      <c r="I913" s="128" t="s">
        <v>1949</v>
      </c>
      <c r="J913" s="128">
        <f t="shared" si="28"/>
        <v>8</v>
      </c>
      <c r="K913" s="128" t="s">
        <v>1957</v>
      </c>
      <c r="L913" s="128" t="s">
        <v>40</v>
      </c>
      <c r="M913" s="129" t="s">
        <v>34</v>
      </c>
      <c r="N913" s="129" t="s">
        <v>28</v>
      </c>
      <c r="O913" s="129" t="s">
        <v>28</v>
      </c>
      <c r="P913" s="129" t="str">
        <f t="shared" si="29"/>
        <v>N/A</v>
      </c>
      <c r="Q913" s="130"/>
      <c r="R913" s="128">
        <v>18.489999999999998</v>
      </c>
      <c r="S913" s="128">
        <v>41.67</v>
      </c>
      <c r="T913" s="130"/>
      <c r="U913" s="154"/>
    </row>
    <row r="914" spans="1:21" ht="15.75" hidden="1" thickBot="1">
      <c r="A914" s="45">
        <v>1244</v>
      </c>
      <c r="B914" s="123"/>
      <c r="C914" s="123"/>
      <c r="D914" s="123"/>
      <c r="E914" s="123"/>
      <c r="F914" s="123"/>
      <c r="G914" s="127" t="s">
        <v>210</v>
      </c>
      <c r="H914" s="128">
        <v>2004</v>
      </c>
      <c r="I914" s="128" t="s">
        <v>1949</v>
      </c>
      <c r="J914" s="128">
        <f t="shared" si="28"/>
        <v>8</v>
      </c>
      <c r="K914" s="128" t="s">
        <v>1959</v>
      </c>
      <c r="L914" s="128" t="s">
        <v>40</v>
      </c>
      <c r="M914" s="129" t="s">
        <v>31</v>
      </c>
      <c r="N914" s="129" t="s">
        <v>28</v>
      </c>
      <c r="O914" s="129" t="s">
        <v>28</v>
      </c>
      <c r="P914" s="129" t="str">
        <f t="shared" si="29"/>
        <v>N/A</v>
      </c>
      <c r="Q914" s="128" t="s">
        <v>2119</v>
      </c>
      <c r="R914" s="128">
        <v>7.86</v>
      </c>
      <c r="S914" s="130"/>
      <c r="T914" s="130" t="s">
        <v>31</v>
      </c>
      <c r="U914" s="154"/>
    </row>
    <row r="915" spans="1:21" ht="15.75" hidden="1" thickBot="1">
      <c r="A915" s="45">
        <v>1244</v>
      </c>
      <c r="B915" s="123"/>
      <c r="C915" s="123"/>
      <c r="D915" s="123"/>
      <c r="E915" s="123"/>
      <c r="F915" s="123"/>
      <c r="G915" s="127" t="s">
        <v>210</v>
      </c>
      <c r="H915" s="128">
        <v>2004</v>
      </c>
      <c r="I915" s="128" t="s">
        <v>1949</v>
      </c>
      <c r="J915" s="128">
        <f t="shared" si="28"/>
        <v>8</v>
      </c>
      <c r="K915" s="128" t="s">
        <v>2120</v>
      </c>
      <c r="L915" s="128" t="s">
        <v>30</v>
      </c>
      <c r="M915" s="129" t="s">
        <v>2121</v>
      </c>
      <c r="N915" s="129" t="s">
        <v>28</v>
      </c>
      <c r="O915" s="129" t="s">
        <v>28</v>
      </c>
      <c r="P915" s="129" t="str">
        <f t="shared" si="29"/>
        <v>N/A</v>
      </c>
      <c r="Q915" s="128" t="s">
        <v>2122</v>
      </c>
      <c r="R915" s="128">
        <v>9.89</v>
      </c>
      <c r="S915" s="130"/>
      <c r="T915" s="130"/>
      <c r="U915" s="154" t="s">
        <v>2123</v>
      </c>
    </row>
    <row r="916" spans="1:21" ht="15.75" hidden="1" thickBot="1">
      <c r="A916" s="45">
        <v>1244</v>
      </c>
      <c r="B916" s="123"/>
      <c r="C916" s="123"/>
      <c r="D916" s="123"/>
      <c r="E916" s="123"/>
      <c r="F916" s="123"/>
      <c r="G916" s="127" t="s">
        <v>210</v>
      </c>
      <c r="H916" s="128">
        <v>2004</v>
      </c>
      <c r="I916" s="128" t="s">
        <v>1949</v>
      </c>
      <c r="J916" s="128">
        <f t="shared" si="28"/>
        <v>8</v>
      </c>
      <c r="K916" s="128" t="s">
        <v>2124</v>
      </c>
      <c r="L916" s="128" t="s">
        <v>30</v>
      </c>
      <c r="M916" s="129" t="s">
        <v>2125</v>
      </c>
      <c r="N916" s="129" t="s">
        <v>28</v>
      </c>
      <c r="O916" s="129" t="s">
        <v>28</v>
      </c>
      <c r="P916" s="129" t="str">
        <f t="shared" si="29"/>
        <v>N/A</v>
      </c>
      <c r="Q916" s="128" t="s">
        <v>2126</v>
      </c>
      <c r="R916" s="128">
        <v>5.72</v>
      </c>
      <c r="S916" s="130"/>
      <c r="T916" s="130"/>
      <c r="U916" s="154" t="s">
        <v>1958</v>
      </c>
    </row>
    <row r="917" spans="1:21" ht="15.75" thickBot="1">
      <c r="A917" s="45">
        <v>1236</v>
      </c>
      <c r="B917" s="123"/>
      <c r="C917" s="123"/>
      <c r="D917" s="123"/>
      <c r="E917" s="123"/>
      <c r="F917" s="123"/>
      <c r="G917" s="127" t="s">
        <v>210</v>
      </c>
      <c r="H917" s="128">
        <v>2005</v>
      </c>
      <c r="I917" s="128" t="s">
        <v>230</v>
      </c>
      <c r="J917" s="128">
        <f t="shared" si="28"/>
        <v>4</v>
      </c>
      <c r="K917" s="128" t="s">
        <v>2127</v>
      </c>
      <c r="L917" s="128" t="s">
        <v>30</v>
      </c>
      <c r="M917" s="129" t="s">
        <v>34</v>
      </c>
      <c r="N917" s="129" t="s">
        <v>28</v>
      </c>
      <c r="O917" s="129"/>
      <c r="P917" s="129" t="str">
        <f t="shared" si="29"/>
        <v/>
      </c>
      <c r="Q917" s="128" t="s">
        <v>2128</v>
      </c>
      <c r="R917" s="128">
        <v>24.53</v>
      </c>
      <c r="S917" s="130"/>
      <c r="T917" s="130" t="s">
        <v>998</v>
      </c>
      <c r="U917" s="152"/>
    </row>
    <row r="918" spans="1:21" ht="26.25" thickBot="1">
      <c r="A918" s="45">
        <v>1236</v>
      </c>
      <c r="B918" s="123"/>
      <c r="C918" s="123"/>
      <c r="D918" s="123"/>
      <c r="E918" s="123"/>
      <c r="F918" s="123"/>
      <c r="G918" s="127" t="s">
        <v>210</v>
      </c>
      <c r="H918" s="128">
        <v>2005</v>
      </c>
      <c r="I918" s="128" t="s">
        <v>230</v>
      </c>
      <c r="J918" s="128">
        <f t="shared" si="28"/>
        <v>4</v>
      </c>
      <c r="K918" s="128" t="s">
        <v>2086</v>
      </c>
      <c r="L918" s="128" t="s">
        <v>30</v>
      </c>
      <c r="M918" s="129" t="s">
        <v>34</v>
      </c>
      <c r="N918" s="129" t="s">
        <v>28</v>
      </c>
      <c r="O918" s="129"/>
      <c r="P918" s="129" t="str">
        <f t="shared" si="29"/>
        <v/>
      </c>
      <c r="Q918" s="128" t="s">
        <v>2129</v>
      </c>
      <c r="R918" s="128">
        <v>9.15</v>
      </c>
      <c r="S918" s="130"/>
      <c r="T918" s="130" t="s">
        <v>1653</v>
      </c>
      <c r="U918" s="152"/>
    </row>
    <row r="919" spans="1:21" ht="15.75" thickBot="1">
      <c r="A919" s="45">
        <v>1236</v>
      </c>
      <c r="B919" s="123"/>
      <c r="C919" s="123"/>
      <c r="D919" s="123"/>
      <c r="E919" s="123"/>
      <c r="F919" s="123"/>
      <c r="G919" s="127" t="s">
        <v>210</v>
      </c>
      <c r="H919" s="128">
        <v>2005</v>
      </c>
      <c r="I919" s="128" t="s">
        <v>230</v>
      </c>
      <c r="J919" s="128">
        <f t="shared" si="28"/>
        <v>4</v>
      </c>
      <c r="K919" s="128" t="s">
        <v>231</v>
      </c>
      <c r="L919" s="128" t="s">
        <v>30</v>
      </c>
      <c r="M919" s="129" t="s">
        <v>1065</v>
      </c>
      <c r="N919" s="129" t="s">
        <v>32</v>
      </c>
      <c r="O919" s="129"/>
      <c r="P919" s="129" t="str">
        <f t="shared" si="29"/>
        <v/>
      </c>
      <c r="Q919" s="130"/>
      <c r="R919" s="128">
        <v>61.36</v>
      </c>
      <c r="S919" s="130"/>
      <c r="T919" s="130"/>
      <c r="U919" s="152"/>
    </row>
    <row r="920" spans="1:21" ht="15.75" thickBot="1">
      <c r="A920" s="45">
        <v>1236</v>
      </c>
      <c r="B920" s="123"/>
      <c r="C920" s="123"/>
      <c r="D920" s="123"/>
      <c r="E920" s="123"/>
      <c r="F920" s="123"/>
      <c r="G920" s="127" t="s">
        <v>210</v>
      </c>
      <c r="H920" s="128">
        <v>2005</v>
      </c>
      <c r="I920" s="128" t="s">
        <v>230</v>
      </c>
      <c r="J920" s="128">
        <f t="shared" si="28"/>
        <v>4</v>
      </c>
      <c r="K920" s="128" t="s">
        <v>2130</v>
      </c>
      <c r="L920" s="128" t="s">
        <v>30</v>
      </c>
      <c r="M920" s="129" t="s">
        <v>34</v>
      </c>
      <c r="N920" s="129" t="s">
        <v>28</v>
      </c>
      <c r="O920" s="129"/>
      <c r="P920" s="129" t="str">
        <f t="shared" si="29"/>
        <v/>
      </c>
      <c r="Q920" s="128" t="s">
        <v>2131</v>
      </c>
      <c r="R920" s="128">
        <v>4.96</v>
      </c>
      <c r="S920" s="130"/>
      <c r="T920" s="130" t="s">
        <v>1015</v>
      </c>
      <c r="U920" s="152"/>
    </row>
    <row r="921" spans="1:21" ht="15.75" hidden="1" thickBot="1">
      <c r="A921" s="45">
        <v>1237</v>
      </c>
      <c r="B921" s="123"/>
      <c r="C921" s="123"/>
      <c r="D921" s="123"/>
      <c r="E921" s="123"/>
      <c r="F921" s="123"/>
      <c r="G921" s="127" t="s">
        <v>210</v>
      </c>
      <c r="H921" s="128">
        <v>2005</v>
      </c>
      <c r="I921" s="128" t="s">
        <v>124</v>
      </c>
      <c r="J921" s="128">
        <f t="shared" si="28"/>
        <v>1</v>
      </c>
      <c r="K921" s="128" t="s">
        <v>1962</v>
      </c>
      <c r="L921" s="128" t="s">
        <v>30</v>
      </c>
      <c r="M921" s="129" t="s">
        <v>1065</v>
      </c>
      <c r="N921" s="129" t="s">
        <v>32</v>
      </c>
      <c r="O921" s="129" t="s">
        <v>32</v>
      </c>
      <c r="P921" s="129" t="str">
        <f t="shared" si="29"/>
        <v>Y</v>
      </c>
      <c r="Q921" s="130"/>
      <c r="R921" s="128">
        <v>98.07</v>
      </c>
      <c r="S921" s="130"/>
      <c r="T921" s="130"/>
      <c r="U921" s="152"/>
    </row>
    <row r="922" spans="1:21" ht="15.75" thickBot="1">
      <c r="A922" s="45">
        <v>1229</v>
      </c>
      <c r="B922" s="123"/>
      <c r="C922" s="123"/>
      <c r="D922" s="123"/>
      <c r="E922" s="123"/>
      <c r="F922" s="123"/>
      <c r="G922" s="127" t="s">
        <v>210</v>
      </c>
      <c r="H922" s="128">
        <v>2006</v>
      </c>
      <c r="I922" s="128" t="s">
        <v>1735</v>
      </c>
      <c r="J922" s="128">
        <f t="shared" si="28"/>
        <v>2</v>
      </c>
      <c r="K922" s="128" t="s">
        <v>218</v>
      </c>
      <c r="L922" s="128" t="s">
        <v>30</v>
      </c>
      <c r="M922" s="129" t="s">
        <v>34</v>
      </c>
      <c r="N922" s="129" t="s">
        <v>32</v>
      </c>
      <c r="O922" s="129"/>
      <c r="P922" s="129" t="str">
        <f t="shared" si="29"/>
        <v/>
      </c>
      <c r="Q922" s="130"/>
      <c r="R922" s="128">
        <v>98.85</v>
      </c>
      <c r="S922" s="130"/>
      <c r="T922" s="130"/>
      <c r="U922" s="152"/>
    </row>
    <row r="923" spans="1:21" ht="15.75" thickBot="1">
      <c r="A923" s="45">
        <v>1229</v>
      </c>
      <c r="B923" s="123"/>
      <c r="C923" s="123"/>
      <c r="D923" s="123"/>
      <c r="E923" s="123"/>
      <c r="F923" s="123"/>
      <c r="G923" s="127" t="s">
        <v>210</v>
      </c>
      <c r="H923" s="128">
        <v>2006</v>
      </c>
      <c r="I923" s="128" t="s">
        <v>1735</v>
      </c>
      <c r="J923" s="128">
        <f t="shared" si="28"/>
        <v>2</v>
      </c>
      <c r="K923" s="128" t="s">
        <v>218</v>
      </c>
      <c r="L923" s="128" t="s">
        <v>30</v>
      </c>
      <c r="M923" s="129" t="s">
        <v>34</v>
      </c>
      <c r="N923" s="129" t="s">
        <v>32</v>
      </c>
      <c r="O923" s="129"/>
      <c r="P923" s="129" t="str">
        <f t="shared" si="29"/>
        <v/>
      </c>
      <c r="Q923" s="130"/>
      <c r="R923" s="128">
        <v>98.85</v>
      </c>
      <c r="S923" s="130"/>
      <c r="T923" s="130"/>
      <c r="U923" s="152"/>
    </row>
    <row r="924" spans="1:21" ht="15.75" hidden="1" thickBot="1">
      <c r="A924" s="45">
        <v>1230</v>
      </c>
      <c r="B924" s="123"/>
      <c r="C924" s="123"/>
      <c r="D924" s="123"/>
      <c r="E924" s="123"/>
      <c r="F924" s="123"/>
      <c r="G924" s="127" t="s">
        <v>210</v>
      </c>
      <c r="H924" s="128">
        <v>2006</v>
      </c>
      <c r="I924" s="128" t="s">
        <v>1834</v>
      </c>
      <c r="J924" s="128">
        <f t="shared" si="28"/>
        <v>2</v>
      </c>
      <c r="K924" s="128" t="s">
        <v>254</v>
      </c>
      <c r="L924" s="128" t="s">
        <v>40</v>
      </c>
      <c r="M924" s="129" t="s">
        <v>31</v>
      </c>
      <c r="N924" s="129" t="s">
        <v>32</v>
      </c>
      <c r="O924" s="129" t="s">
        <v>32</v>
      </c>
      <c r="P924" s="129" t="str">
        <f t="shared" si="29"/>
        <v>Y</v>
      </c>
      <c r="Q924" s="132" t="s">
        <v>2132</v>
      </c>
      <c r="R924" s="128">
        <v>80.13</v>
      </c>
      <c r="S924" s="130"/>
      <c r="T924" s="130" t="s">
        <v>31</v>
      </c>
      <c r="U924" s="154"/>
    </row>
    <row r="925" spans="1:21" ht="15.75" hidden="1" thickBot="1">
      <c r="A925" s="45">
        <v>1230</v>
      </c>
      <c r="B925" s="123"/>
      <c r="C925" s="123"/>
      <c r="D925" s="123"/>
      <c r="E925" s="123"/>
      <c r="F925" s="123"/>
      <c r="G925" s="127" t="s">
        <v>210</v>
      </c>
      <c r="H925" s="128">
        <v>2006</v>
      </c>
      <c r="I925" s="128" t="s">
        <v>1834</v>
      </c>
      <c r="J925" s="128">
        <f t="shared" si="28"/>
        <v>2</v>
      </c>
      <c r="K925" s="128" t="s">
        <v>2133</v>
      </c>
      <c r="L925" s="128" t="s">
        <v>40</v>
      </c>
      <c r="M925" s="129" t="s">
        <v>34</v>
      </c>
      <c r="N925" s="129" t="s">
        <v>28</v>
      </c>
      <c r="O925" s="129" t="s">
        <v>28</v>
      </c>
      <c r="P925" s="129" t="str">
        <f t="shared" si="29"/>
        <v>N/A</v>
      </c>
      <c r="Q925" s="130"/>
      <c r="R925" s="128">
        <v>16.39</v>
      </c>
      <c r="S925" s="130"/>
      <c r="T925" s="130"/>
      <c r="U925" s="154"/>
    </row>
    <row r="926" spans="1:21" ht="15.75" hidden="1" thickBot="1">
      <c r="A926" s="45">
        <v>1231</v>
      </c>
      <c r="B926" s="123"/>
      <c r="C926" s="123"/>
      <c r="D926" s="123"/>
      <c r="E926" s="123"/>
      <c r="F926" s="123"/>
      <c r="G926" s="127" t="s">
        <v>210</v>
      </c>
      <c r="H926" s="128">
        <v>2006</v>
      </c>
      <c r="I926" s="128" t="s">
        <v>1850</v>
      </c>
      <c r="J926" s="128">
        <f t="shared" si="28"/>
        <v>6</v>
      </c>
      <c r="K926" s="128" t="s">
        <v>2134</v>
      </c>
      <c r="L926" s="128" t="s">
        <v>30</v>
      </c>
      <c r="M926" s="129" t="s">
        <v>31</v>
      </c>
      <c r="N926" s="129" t="s">
        <v>28</v>
      </c>
      <c r="O926" s="129" t="s">
        <v>28</v>
      </c>
      <c r="P926" s="129" t="str">
        <f t="shared" si="29"/>
        <v>N/A</v>
      </c>
      <c r="Q926" s="130"/>
      <c r="R926" s="128">
        <v>7.26</v>
      </c>
      <c r="S926" s="130"/>
      <c r="T926" s="130"/>
      <c r="U926" s="154"/>
    </row>
    <row r="927" spans="1:21" ht="15.75" hidden="1" thickBot="1">
      <c r="A927" s="45">
        <v>1231</v>
      </c>
      <c r="B927" s="123"/>
      <c r="C927" s="123"/>
      <c r="D927" s="123"/>
      <c r="E927" s="123"/>
      <c r="F927" s="123"/>
      <c r="G927" s="127" t="s">
        <v>210</v>
      </c>
      <c r="H927" s="128">
        <v>2006</v>
      </c>
      <c r="I927" s="128" t="s">
        <v>1850</v>
      </c>
      <c r="J927" s="128">
        <f t="shared" si="28"/>
        <v>6</v>
      </c>
      <c r="K927" s="128" t="s">
        <v>2135</v>
      </c>
      <c r="L927" s="128" t="s">
        <v>30</v>
      </c>
      <c r="M927" s="129" t="s">
        <v>34</v>
      </c>
      <c r="N927" s="129" t="s">
        <v>28</v>
      </c>
      <c r="O927" s="129" t="s">
        <v>28</v>
      </c>
      <c r="P927" s="129" t="str">
        <f t="shared" si="29"/>
        <v>N/A</v>
      </c>
      <c r="Q927" s="138" t="s">
        <v>2136</v>
      </c>
      <c r="R927" s="128">
        <v>16.34</v>
      </c>
      <c r="S927" s="130"/>
      <c r="T927" s="130" t="s">
        <v>998</v>
      </c>
      <c r="U927" s="154" t="s">
        <v>2137</v>
      </c>
    </row>
    <row r="928" spans="1:21" ht="15.75" hidden="1" thickBot="1">
      <c r="A928" s="45">
        <v>1231</v>
      </c>
      <c r="B928" s="123"/>
      <c r="C928" s="123"/>
      <c r="D928" s="123"/>
      <c r="E928" s="123"/>
      <c r="F928" s="123"/>
      <c r="G928" s="127" t="s">
        <v>210</v>
      </c>
      <c r="H928" s="128">
        <v>2006</v>
      </c>
      <c r="I928" s="128" t="s">
        <v>1850</v>
      </c>
      <c r="J928" s="128">
        <f t="shared" si="28"/>
        <v>6</v>
      </c>
      <c r="K928" s="128" t="s">
        <v>255</v>
      </c>
      <c r="L928" s="128" t="s">
        <v>30</v>
      </c>
      <c r="M928" s="129" t="s">
        <v>34</v>
      </c>
      <c r="N928" s="129" t="s">
        <v>32</v>
      </c>
      <c r="O928" s="129" t="s">
        <v>32</v>
      </c>
      <c r="P928" s="129" t="str">
        <f t="shared" si="29"/>
        <v>Y</v>
      </c>
      <c r="Q928" s="132" t="s">
        <v>2138</v>
      </c>
      <c r="R928" s="128">
        <v>26.23</v>
      </c>
      <c r="S928" s="128">
        <v>52.51</v>
      </c>
      <c r="T928" s="130" t="s">
        <v>998</v>
      </c>
      <c r="U928" s="154"/>
    </row>
    <row r="929" spans="1:21" ht="15.75" hidden="1" thickBot="1">
      <c r="A929" s="45">
        <v>1231</v>
      </c>
      <c r="B929" s="123"/>
      <c r="C929" s="123"/>
      <c r="D929" s="123"/>
      <c r="E929" s="123"/>
      <c r="F929" s="123"/>
      <c r="G929" s="127" t="s">
        <v>210</v>
      </c>
      <c r="H929" s="128">
        <v>2006</v>
      </c>
      <c r="I929" s="128" t="s">
        <v>1850</v>
      </c>
      <c r="J929" s="128">
        <f t="shared" si="28"/>
        <v>6</v>
      </c>
      <c r="K929" s="128" t="s">
        <v>2139</v>
      </c>
      <c r="L929" s="128" t="s">
        <v>30</v>
      </c>
      <c r="M929" s="129" t="s">
        <v>34</v>
      </c>
      <c r="N929" s="129" t="s">
        <v>28</v>
      </c>
      <c r="O929" s="129" t="s">
        <v>28</v>
      </c>
      <c r="P929" s="129" t="str">
        <f t="shared" si="29"/>
        <v>N/A</v>
      </c>
      <c r="Q929" s="128" t="s">
        <v>2136</v>
      </c>
      <c r="R929" s="128">
        <v>1.1499999999999999</v>
      </c>
      <c r="S929" s="130"/>
      <c r="T929" s="130" t="s">
        <v>1069</v>
      </c>
      <c r="U929" s="154" t="s">
        <v>2136</v>
      </c>
    </row>
    <row r="930" spans="1:21" ht="15.75" hidden="1" thickBot="1">
      <c r="A930" s="45">
        <v>1231</v>
      </c>
      <c r="B930" s="123"/>
      <c r="C930" s="123"/>
      <c r="D930" s="123"/>
      <c r="E930" s="123"/>
      <c r="F930" s="123"/>
      <c r="G930" s="127" t="s">
        <v>210</v>
      </c>
      <c r="H930" s="128">
        <v>2006</v>
      </c>
      <c r="I930" s="128" t="s">
        <v>1850</v>
      </c>
      <c r="J930" s="128">
        <f t="shared" si="28"/>
        <v>6</v>
      </c>
      <c r="K930" s="128" t="s">
        <v>2140</v>
      </c>
      <c r="L930" s="128" t="s">
        <v>40</v>
      </c>
      <c r="M930" s="129" t="s">
        <v>34</v>
      </c>
      <c r="N930" s="129" t="s">
        <v>28</v>
      </c>
      <c r="O930" s="129" t="s">
        <v>28</v>
      </c>
      <c r="P930" s="129" t="str">
        <f t="shared" si="29"/>
        <v>N/A</v>
      </c>
      <c r="Q930" s="128" t="s">
        <v>2141</v>
      </c>
      <c r="R930" s="128">
        <v>23.05</v>
      </c>
      <c r="S930" s="130"/>
      <c r="T930" s="130" t="s">
        <v>998</v>
      </c>
      <c r="U930" s="154" t="s">
        <v>2142</v>
      </c>
    </row>
    <row r="931" spans="1:21" ht="15.75" hidden="1" thickBot="1">
      <c r="A931" s="45">
        <v>1231</v>
      </c>
      <c r="B931" s="123"/>
      <c r="C931" s="123"/>
      <c r="D931" s="123"/>
      <c r="E931" s="123"/>
      <c r="F931" s="123"/>
      <c r="G931" s="127" t="s">
        <v>210</v>
      </c>
      <c r="H931" s="128">
        <v>2006</v>
      </c>
      <c r="I931" s="128" t="s">
        <v>1850</v>
      </c>
      <c r="J931" s="128">
        <f t="shared" si="28"/>
        <v>6</v>
      </c>
      <c r="K931" s="128" t="s">
        <v>1856</v>
      </c>
      <c r="L931" s="128" t="s">
        <v>30</v>
      </c>
      <c r="M931" s="129" t="s">
        <v>1013</v>
      </c>
      <c r="N931" s="129" t="s">
        <v>28</v>
      </c>
      <c r="O931" s="129" t="s">
        <v>28</v>
      </c>
      <c r="P931" s="129" t="str">
        <f t="shared" si="29"/>
        <v>N/A</v>
      </c>
      <c r="Q931" s="130"/>
      <c r="R931" s="128">
        <v>25.96</v>
      </c>
      <c r="S931" s="128">
        <v>47.49</v>
      </c>
      <c r="T931" s="130"/>
      <c r="U931" s="154"/>
    </row>
    <row r="932" spans="1:21" ht="15.75" hidden="1" thickBot="1">
      <c r="A932" s="45">
        <v>1232</v>
      </c>
      <c r="B932" s="123"/>
      <c r="C932" s="123"/>
      <c r="D932" s="123"/>
      <c r="E932" s="123"/>
      <c r="F932" s="123"/>
      <c r="G932" s="127" t="s">
        <v>210</v>
      </c>
      <c r="H932" s="128">
        <v>2006</v>
      </c>
      <c r="I932" s="128" t="s">
        <v>1878</v>
      </c>
      <c r="J932" s="128">
        <f t="shared" si="28"/>
        <v>8</v>
      </c>
      <c r="K932" s="128" t="s">
        <v>256</v>
      </c>
      <c r="L932" s="128" t="s">
        <v>30</v>
      </c>
      <c r="M932" s="129" t="s">
        <v>31</v>
      </c>
      <c r="N932" s="129" t="s">
        <v>32</v>
      </c>
      <c r="O932" s="129" t="s">
        <v>32</v>
      </c>
      <c r="P932" s="129" t="str">
        <f t="shared" si="29"/>
        <v>Y</v>
      </c>
      <c r="Q932" s="130"/>
      <c r="R932" s="128">
        <v>48.82</v>
      </c>
      <c r="S932" s="128">
        <v>50.82</v>
      </c>
      <c r="T932" s="130" t="s">
        <v>31</v>
      </c>
      <c r="U932" s="154"/>
    </row>
    <row r="933" spans="1:21" ht="15.75" hidden="1" thickBot="1">
      <c r="A933" s="45">
        <v>1232</v>
      </c>
      <c r="B933" s="123"/>
      <c r="C933" s="123"/>
      <c r="D933" s="123"/>
      <c r="E933" s="123"/>
      <c r="F933" s="123"/>
      <c r="G933" s="127" t="s">
        <v>210</v>
      </c>
      <c r="H933" s="128">
        <v>2006</v>
      </c>
      <c r="I933" s="128" t="s">
        <v>1878</v>
      </c>
      <c r="J933" s="128">
        <f t="shared" si="28"/>
        <v>8</v>
      </c>
      <c r="K933" s="128" t="s">
        <v>2143</v>
      </c>
      <c r="L933" s="128" t="s">
        <v>30</v>
      </c>
      <c r="M933" s="129" t="s">
        <v>31</v>
      </c>
      <c r="N933" s="129" t="s">
        <v>28</v>
      </c>
      <c r="O933" s="129" t="s">
        <v>28</v>
      </c>
      <c r="P933" s="129" t="str">
        <f t="shared" si="29"/>
        <v>N/A</v>
      </c>
      <c r="Q933" s="128" t="s">
        <v>2144</v>
      </c>
      <c r="R933" s="128">
        <v>2.1</v>
      </c>
      <c r="S933" s="130"/>
      <c r="T933" s="130" t="s">
        <v>31</v>
      </c>
      <c r="U933" s="154" t="s">
        <v>1881</v>
      </c>
    </row>
    <row r="934" spans="1:21" ht="15.75" hidden="1" thickBot="1">
      <c r="A934" s="45">
        <v>1232</v>
      </c>
      <c r="B934" s="123"/>
      <c r="C934" s="123"/>
      <c r="D934" s="123"/>
      <c r="E934" s="123"/>
      <c r="F934" s="123"/>
      <c r="G934" s="127" t="s">
        <v>210</v>
      </c>
      <c r="H934" s="128">
        <v>2006</v>
      </c>
      <c r="I934" s="128" t="s">
        <v>1878</v>
      </c>
      <c r="J934" s="128">
        <f t="shared" si="28"/>
        <v>8</v>
      </c>
      <c r="K934" s="128" t="s">
        <v>2145</v>
      </c>
      <c r="L934" s="128" t="s">
        <v>30</v>
      </c>
      <c r="M934" s="129" t="s">
        <v>1003</v>
      </c>
      <c r="N934" s="129" t="s">
        <v>28</v>
      </c>
      <c r="O934" s="129" t="s">
        <v>28</v>
      </c>
      <c r="P934" s="129" t="str">
        <f t="shared" si="29"/>
        <v>N/A</v>
      </c>
      <c r="Q934" s="138" t="s">
        <v>2146</v>
      </c>
      <c r="R934" s="128">
        <v>1.25</v>
      </c>
      <c r="S934" s="130"/>
      <c r="T934" s="130"/>
      <c r="U934" s="154"/>
    </row>
    <row r="935" spans="1:21" ht="15.75" hidden="1" thickBot="1">
      <c r="A935" s="45">
        <v>1232</v>
      </c>
      <c r="B935" s="123"/>
      <c r="C935" s="123"/>
      <c r="D935" s="123"/>
      <c r="E935" s="123"/>
      <c r="F935" s="123"/>
      <c r="G935" s="127" t="s">
        <v>210</v>
      </c>
      <c r="H935" s="128">
        <v>2006</v>
      </c>
      <c r="I935" s="128" t="s">
        <v>1878</v>
      </c>
      <c r="J935" s="128">
        <f t="shared" si="28"/>
        <v>8</v>
      </c>
      <c r="K935" s="128" t="s">
        <v>2147</v>
      </c>
      <c r="L935" s="128" t="s">
        <v>30</v>
      </c>
      <c r="M935" s="129" t="s">
        <v>1003</v>
      </c>
      <c r="N935" s="129" t="s">
        <v>28</v>
      </c>
      <c r="O935" s="129" t="s">
        <v>28</v>
      </c>
      <c r="P935" s="129" t="str">
        <f t="shared" si="29"/>
        <v>N/A</v>
      </c>
      <c r="Q935" s="128" t="s">
        <v>2148</v>
      </c>
      <c r="R935" s="128">
        <v>1.75</v>
      </c>
      <c r="S935" s="130"/>
      <c r="T935" s="130"/>
      <c r="U935" s="154"/>
    </row>
    <row r="936" spans="1:21" ht="15.75" hidden="1" thickBot="1">
      <c r="A936" s="45">
        <v>1232</v>
      </c>
      <c r="B936" s="123"/>
      <c r="C936" s="123"/>
      <c r="D936" s="123"/>
      <c r="E936" s="123"/>
      <c r="F936" s="123"/>
      <c r="G936" s="127" t="s">
        <v>210</v>
      </c>
      <c r="H936" s="128">
        <v>2006</v>
      </c>
      <c r="I936" s="128" t="s">
        <v>1878</v>
      </c>
      <c r="J936" s="128">
        <f t="shared" si="28"/>
        <v>8</v>
      </c>
      <c r="K936" s="128" t="s">
        <v>2149</v>
      </c>
      <c r="L936" s="128" t="s">
        <v>30</v>
      </c>
      <c r="M936" s="129" t="s">
        <v>31</v>
      </c>
      <c r="N936" s="129" t="s">
        <v>28</v>
      </c>
      <c r="O936" s="129" t="s">
        <v>28</v>
      </c>
      <c r="P936" s="129" t="str">
        <f t="shared" si="29"/>
        <v>N/A</v>
      </c>
      <c r="Q936" s="132" t="s">
        <v>2150</v>
      </c>
      <c r="R936" s="128">
        <v>3.77</v>
      </c>
      <c r="S936" s="130"/>
      <c r="T936" s="130" t="s">
        <v>31</v>
      </c>
      <c r="U936" s="154"/>
    </row>
    <row r="937" spans="1:21" ht="15.75" hidden="1" thickBot="1">
      <c r="A937" s="45">
        <v>1232</v>
      </c>
      <c r="B937" s="123"/>
      <c r="C937" s="123"/>
      <c r="D937" s="123"/>
      <c r="E937" s="123"/>
      <c r="F937" s="123"/>
      <c r="G937" s="127" t="s">
        <v>210</v>
      </c>
      <c r="H937" s="128">
        <v>2006</v>
      </c>
      <c r="I937" s="128" t="s">
        <v>1878</v>
      </c>
      <c r="J937" s="128">
        <f t="shared" si="28"/>
        <v>8</v>
      </c>
      <c r="K937" s="128" t="s">
        <v>2151</v>
      </c>
      <c r="L937" s="128" t="s">
        <v>30</v>
      </c>
      <c r="M937" s="129" t="s">
        <v>31</v>
      </c>
      <c r="N937" s="129" t="s">
        <v>28</v>
      </c>
      <c r="O937" s="129" t="s">
        <v>28</v>
      </c>
      <c r="P937" s="129" t="str">
        <f t="shared" si="29"/>
        <v>N/A</v>
      </c>
      <c r="Q937" s="128" t="s">
        <v>2152</v>
      </c>
      <c r="R937" s="128">
        <v>39.770000000000003</v>
      </c>
      <c r="S937" s="128">
        <v>49.18</v>
      </c>
      <c r="T937" s="130" t="s">
        <v>31</v>
      </c>
      <c r="U937" s="154"/>
    </row>
    <row r="938" spans="1:21" ht="15.75" hidden="1" thickBot="1">
      <c r="A938" s="45">
        <v>1232</v>
      </c>
      <c r="B938" s="123"/>
      <c r="C938" s="123"/>
      <c r="D938" s="123"/>
      <c r="E938" s="123"/>
      <c r="F938" s="123"/>
      <c r="G938" s="127" t="s">
        <v>210</v>
      </c>
      <c r="H938" s="128">
        <v>2006</v>
      </c>
      <c r="I938" s="128" t="s">
        <v>1878</v>
      </c>
      <c r="J938" s="128">
        <f t="shared" si="28"/>
        <v>8</v>
      </c>
      <c r="K938" s="128" t="s">
        <v>2153</v>
      </c>
      <c r="L938" s="128" t="s">
        <v>30</v>
      </c>
      <c r="M938" s="129" t="s">
        <v>201</v>
      </c>
      <c r="N938" s="129" t="s">
        <v>28</v>
      </c>
      <c r="O938" s="129" t="s">
        <v>28</v>
      </c>
      <c r="P938" s="129" t="str">
        <f t="shared" si="29"/>
        <v>N/A</v>
      </c>
      <c r="Q938" s="128" t="s">
        <v>2144</v>
      </c>
      <c r="R938" s="128">
        <v>0.67</v>
      </c>
      <c r="S938" s="130"/>
      <c r="T938" s="130" t="s">
        <v>998</v>
      </c>
      <c r="U938" s="154"/>
    </row>
    <row r="939" spans="1:21" ht="15.75" hidden="1" thickBot="1">
      <c r="A939" s="45">
        <v>1232</v>
      </c>
      <c r="B939" s="123"/>
      <c r="C939" s="123"/>
      <c r="D939" s="123"/>
      <c r="E939" s="123"/>
      <c r="F939" s="123"/>
      <c r="G939" s="127" t="s">
        <v>210</v>
      </c>
      <c r="H939" s="128">
        <v>2006</v>
      </c>
      <c r="I939" s="128" t="s">
        <v>1878</v>
      </c>
      <c r="J939" s="128">
        <f t="shared" si="28"/>
        <v>8</v>
      </c>
      <c r="K939" s="128" t="s">
        <v>2154</v>
      </c>
      <c r="L939" s="128" t="s">
        <v>30</v>
      </c>
      <c r="M939" s="129" t="s">
        <v>31</v>
      </c>
      <c r="N939" s="129" t="s">
        <v>28</v>
      </c>
      <c r="O939" s="129" t="s">
        <v>28</v>
      </c>
      <c r="P939" s="129" t="str">
        <f t="shared" si="29"/>
        <v>N/A</v>
      </c>
      <c r="Q939" s="138" t="s">
        <v>2155</v>
      </c>
      <c r="R939" s="128">
        <v>1.86</v>
      </c>
      <c r="S939" s="130"/>
      <c r="T939" s="130" t="s">
        <v>31</v>
      </c>
      <c r="U939" s="154"/>
    </row>
    <row r="940" spans="1:21" ht="15.75" hidden="1" thickBot="1">
      <c r="A940" s="45">
        <v>1233</v>
      </c>
      <c r="B940" s="123"/>
      <c r="C940" s="123"/>
      <c r="D940" s="123"/>
      <c r="E940" s="123"/>
      <c r="F940" s="123"/>
      <c r="G940" s="127" t="s">
        <v>210</v>
      </c>
      <c r="H940" s="128">
        <v>2006</v>
      </c>
      <c r="I940" s="128" t="s">
        <v>1913</v>
      </c>
      <c r="J940" s="128">
        <f t="shared" si="28"/>
        <v>3</v>
      </c>
      <c r="K940" s="128" t="s">
        <v>2156</v>
      </c>
      <c r="L940" s="128" t="s">
        <v>40</v>
      </c>
      <c r="M940" s="129" t="s">
        <v>31</v>
      </c>
      <c r="N940" s="129" t="s">
        <v>28</v>
      </c>
      <c r="O940" s="129" t="s">
        <v>28</v>
      </c>
      <c r="P940" s="129" t="str">
        <f t="shared" si="29"/>
        <v>N/A</v>
      </c>
      <c r="Q940" s="128" t="s">
        <v>2157</v>
      </c>
      <c r="R940" s="128">
        <v>29.06</v>
      </c>
      <c r="S940" s="130"/>
      <c r="T940" s="130" t="s">
        <v>31</v>
      </c>
      <c r="U940" s="161" t="s">
        <v>2157</v>
      </c>
    </row>
    <row r="941" spans="1:21" ht="15.75" hidden="1" thickBot="1">
      <c r="A941" s="45">
        <v>1233</v>
      </c>
      <c r="B941" s="123"/>
      <c r="C941" s="123"/>
      <c r="D941" s="123"/>
      <c r="E941" s="123"/>
      <c r="F941" s="123"/>
      <c r="G941" s="127" t="s">
        <v>210</v>
      </c>
      <c r="H941" s="128">
        <v>2006</v>
      </c>
      <c r="I941" s="128" t="s">
        <v>1913</v>
      </c>
      <c r="J941" s="128">
        <f t="shared" si="28"/>
        <v>3</v>
      </c>
      <c r="K941" s="128" t="s">
        <v>257</v>
      </c>
      <c r="L941" s="128" t="s">
        <v>30</v>
      </c>
      <c r="M941" s="129" t="s">
        <v>31</v>
      </c>
      <c r="N941" s="129" t="s">
        <v>32</v>
      </c>
      <c r="O941" s="129" t="s">
        <v>32</v>
      </c>
      <c r="P941" s="129" t="str">
        <f t="shared" si="29"/>
        <v>Y</v>
      </c>
      <c r="Q941" s="130"/>
      <c r="R941" s="128">
        <v>66.239999999999995</v>
      </c>
      <c r="S941" s="130"/>
      <c r="T941" s="130"/>
      <c r="U941" s="154"/>
    </row>
    <row r="942" spans="1:21" ht="15.75" hidden="1" thickBot="1">
      <c r="A942" s="45">
        <v>1233</v>
      </c>
      <c r="B942" s="123"/>
      <c r="C942" s="123"/>
      <c r="D942" s="123"/>
      <c r="E942" s="123"/>
      <c r="F942" s="123"/>
      <c r="G942" s="127" t="s">
        <v>210</v>
      </c>
      <c r="H942" s="128">
        <v>2006</v>
      </c>
      <c r="I942" s="128" t="s">
        <v>1913</v>
      </c>
      <c r="J942" s="128">
        <f t="shared" si="28"/>
        <v>3</v>
      </c>
      <c r="K942" s="128" t="s">
        <v>2000</v>
      </c>
      <c r="L942" s="128" t="s">
        <v>30</v>
      </c>
      <c r="M942" s="129" t="s">
        <v>31</v>
      </c>
      <c r="N942" s="129" t="s">
        <v>28</v>
      </c>
      <c r="O942" s="129" t="s">
        <v>28</v>
      </c>
      <c r="P942" s="129" t="str">
        <f t="shared" si="29"/>
        <v>N/A</v>
      </c>
      <c r="Q942" s="128" t="s">
        <v>2158</v>
      </c>
      <c r="R942" s="128">
        <v>4.6900000000000004</v>
      </c>
      <c r="S942" s="130"/>
      <c r="T942" s="130" t="s">
        <v>31</v>
      </c>
      <c r="U942" s="154"/>
    </row>
    <row r="943" spans="1:21" ht="15.75" hidden="1" thickBot="1">
      <c r="A943" s="45">
        <v>1234</v>
      </c>
      <c r="B943" s="123"/>
      <c r="C943" s="123"/>
      <c r="D943" s="123"/>
      <c r="E943" s="123"/>
      <c r="F943" s="123"/>
      <c r="G943" s="127" t="s">
        <v>210</v>
      </c>
      <c r="H943" s="128">
        <v>2006</v>
      </c>
      <c r="I943" s="128" t="s">
        <v>1926</v>
      </c>
      <c r="J943" s="128">
        <f t="shared" si="28"/>
        <v>7</v>
      </c>
      <c r="K943" s="128" t="s">
        <v>2159</v>
      </c>
      <c r="L943" s="128" t="s">
        <v>30</v>
      </c>
      <c r="M943" s="129" t="s">
        <v>201</v>
      </c>
      <c r="N943" s="129" t="s">
        <v>28</v>
      </c>
      <c r="O943" s="129" t="s">
        <v>28</v>
      </c>
      <c r="P943" s="129" t="str">
        <f t="shared" si="29"/>
        <v>N/A</v>
      </c>
      <c r="Q943" s="128" t="s">
        <v>2160</v>
      </c>
      <c r="R943" s="128">
        <v>3.36</v>
      </c>
      <c r="S943" s="130"/>
      <c r="T943" s="130" t="s">
        <v>1015</v>
      </c>
      <c r="U943" s="154" t="s">
        <v>2161</v>
      </c>
    </row>
    <row r="944" spans="1:21" ht="26.25" hidden="1" thickBot="1">
      <c r="A944" s="45">
        <v>1234</v>
      </c>
      <c r="B944" s="123"/>
      <c r="C944" s="123"/>
      <c r="D944" s="123"/>
      <c r="E944" s="123"/>
      <c r="F944" s="123"/>
      <c r="G944" s="127" t="s">
        <v>210</v>
      </c>
      <c r="H944" s="128">
        <v>2006</v>
      </c>
      <c r="I944" s="128" t="s">
        <v>1926</v>
      </c>
      <c r="J944" s="128">
        <f t="shared" si="28"/>
        <v>7</v>
      </c>
      <c r="K944" s="128" t="s">
        <v>1929</v>
      </c>
      <c r="L944" s="128" t="s">
        <v>30</v>
      </c>
      <c r="M944" s="129" t="s">
        <v>1065</v>
      </c>
      <c r="N944" s="129" t="s">
        <v>28</v>
      </c>
      <c r="O944" s="129" t="s">
        <v>28</v>
      </c>
      <c r="P944" s="129" t="str">
        <f t="shared" si="29"/>
        <v>N/A</v>
      </c>
      <c r="Q944" s="128" t="s">
        <v>2162</v>
      </c>
      <c r="R944" s="128">
        <v>11.95</v>
      </c>
      <c r="S944" s="130"/>
      <c r="T944" s="130" t="s">
        <v>2163</v>
      </c>
      <c r="U944" s="154"/>
    </row>
    <row r="945" spans="1:21" ht="15.75" hidden="1" thickBot="1">
      <c r="A945" s="45">
        <v>1234</v>
      </c>
      <c r="B945" s="123"/>
      <c r="C945" s="123"/>
      <c r="D945" s="123"/>
      <c r="E945" s="123"/>
      <c r="F945" s="123"/>
      <c r="G945" s="127" t="s">
        <v>210</v>
      </c>
      <c r="H945" s="128">
        <v>2006</v>
      </c>
      <c r="I945" s="128" t="s">
        <v>1926</v>
      </c>
      <c r="J945" s="128">
        <f t="shared" si="28"/>
        <v>7</v>
      </c>
      <c r="K945" s="128" t="s">
        <v>1931</v>
      </c>
      <c r="L945" s="128" t="s">
        <v>40</v>
      </c>
      <c r="M945" s="129" t="s">
        <v>201</v>
      </c>
      <c r="N945" s="129" t="s">
        <v>28</v>
      </c>
      <c r="O945" s="129" t="s">
        <v>28</v>
      </c>
      <c r="P945" s="129" t="str">
        <f t="shared" si="29"/>
        <v>N/A</v>
      </c>
      <c r="Q945" s="128" t="s">
        <v>2164</v>
      </c>
      <c r="R945" s="128">
        <v>10.199999999999999</v>
      </c>
      <c r="S945" s="130"/>
      <c r="T945" s="130" t="s">
        <v>1376</v>
      </c>
      <c r="U945" s="154"/>
    </row>
    <row r="946" spans="1:21" ht="15.75" hidden="1" thickBot="1">
      <c r="A946" s="45">
        <v>1234</v>
      </c>
      <c r="B946" s="123"/>
      <c r="C946" s="123"/>
      <c r="D946" s="123"/>
      <c r="E946" s="123"/>
      <c r="F946" s="123"/>
      <c r="G946" s="127" t="s">
        <v>210</v>
      </c>
      <c r="H946" s="128">
        <v>2006</v>
      </c>
      <c r="I946" s="128" t="s">
        <v>1926</v>
      </c>
      <c r="J946" s="128">
        <f t="shared" si="28"/>
        <v>7</v>
      </c>
      <c r="K946" s="128" t="s">
        <v>2165</v>
      </c>
      <c r="L946" s="128" t="s">
        <v>40</v>
      </c>
      <c r="M946" s="129" t="s">
        <v>201</v>
      </c>
      <c r="N946" s="129" t="s">
        <v>28</v>
      </c>
      <c r="O946" s="129" t="s">
        <v>28</v>
      </c>
      <c r="P946" s="129" t="str">
        <f t="shared" si="29"/>
        <v>N/A</v>
      </c>
      <c r="Q946" s="128" t="s">
        <v>2166</v>
      </c>
      <c r="R946" s="128">
        <v>8.01</v>
      </c>
      <c r="S946" s="130"/>
      <c r="T946" s="130" t="s">
        <v>998</v>
      </c>
      <c r="U946" s="154"/>
    </row>
    <row r="947" spans="1:21" ht="15.75" hidden="1" thickBot="1">
      <c r="A947" s="45">
        <v>1234</v>
      </c>
      <c r="B947" s="123"/>
      <c r="C947" s="123"/>
      <c r="D947" s="123"/>
      <c r="E947" s="123"/>
      <c r="F947" s="123"/>
      <c r="G947" s="127" t="s">
        <v>210</v>
      </c>
      <c r="H947" s="128">
        <v>2006</v>
      </c>
      <c r="I947" s="128" t="s">
        <v>1926</v>
      </c>
      <c r="J947" s="128">
        <f t="shared" si="28"/>
        <v>7</v>
      </c>
      <c r="K947" s="128" t="s">
        <v>2167</v>
      </c>
      <c r="L947" s="128" t="s">
        <v>30</v>
      </c>
      <c r="M947" s="129" t="s">
        <v>201</v>
      </c>
      <c r="N947" s="129" t="s">
        <v>28</v>
      </c>
      <c r="O947" s="129" t="s">
        <v>28</v>
      </c>
      <c r="P947" s="129" t="str">
        <f t="shared" si="29"/>
        <v>N/A</v>
      </c>
      <c r="Q947" s="128" t="s">
        <v>2168</v>
      </c>
      <c r="R947" s="128">
        <v>8.41</v>
      </c>
      <c r="S947" s="130"/>
      <c r="T947" s="130"/>
      <c r="U947" s="154" t="s">
        <v>2161</v>
      </c>
    </row>
    <row r="948" spans="1:21" ht="15.75" hidden="1" thickBot="1">
      <c r="A948" s="45">
        <v>1234</v>
      </c>
      <c r="B948" s="123"/>
      <c r="C948" s="123"/>
      <c r="D948" s="123"/>
      <c r="E948" s="123"/>
      <c r="F948" s="123"/>
      <c r="G948" s="127" t="s">
        <v>210</v>
      </c>
      <c r="H948" s="128">
        <v>2006</v>
      </c>
      <c r="I948" s="128" t="s">
        <v>1926</v>
      </c>
      <c r="J948" s="128">
        <f t="shared" si="28"/>
        <v>7</v>
      </c>
      <c r="K948" s="128" t="s">
        <v>2169</v>
      </c>
      <c r="L948" s="128" t="s">
        <v>40</v>
      </c>
      <c r="M948" s="129" t="s">
        <v>201</v>
      </c>
      <c r="N948" s="129" t="s">
        <v>28</v>
      </c>
      <c r="O948" s="129" t="s">
        <v>28</v>
      </c>
      <c r="P948" s="129" t="str">
        <f t="shared" si="29"/>
        <v>N/A</v>
      </c>
      <c r="Q948" s="144" t="s">
        <v>2170</v>
      </c>
      <c r="R948" s="128">
        <v>1.92</v>
      </c>
      <c r="S948" s="130"/>
      <c r="T948" s="130"/>
      <c r="U948" s="154"/>
    </row>
    <row r="949" spans="1:21" ht="15.75" hidden="1" thickBot="1">
      <c r="A949" s="45">
        <v>1234</v>
      </c>
      <c r="B949" s="123"/>
      <c r="C949" s="123"/>
      <c r="D949" s="123"/>
      <c r="E949" s="123"/>
      <c r="F949" s="123"/>
      <c r="G949" s="127" t="s">
        <v>210</v>
      </c>
      <c r="H949" s="128">
        <v>2006</v>
      </c>
      <c r="I949" s="128" t="s">
        <v>1926</v>
      </c>
      <c r="J949" s="128">
        <f t="shared" si="28"/>
        <v>7</v>
      </c>
      <c r="K949" s="128" t="s">
        <v>258</v>
      </c>
      <c r="L949" s="128" t="s">
        <v>40</v>
      </c>
      <c r="M949" s="129" t="s">
        <v>1932</v>
      </c>
      <c r="N949" s="129" t="s">
        <v>32</v>
      </c>
      <c r="O949" s="129" t="s">
        <v>32</v>
      </c>
      <c r="P949" s="129" t="str">
        <f t="shared" si="29"/>
        <v>Y</v>
      </c>
      <c r="Q949" s="132" t="s">
        <v>2171</v>
      </c>
      <c r="R949" s="128">
        <v>56.17</v>
      </c>
      <c r="S949" s="130"/>
      <c r="T949" s="130" t="s">
        <v>998</v>
      </c>
      <c r="U949" s="154"/>
    </row>
    <row r="950" spans="1:21" ht="15.75" hidden="1" thickBot="1">
      <c r="A950" s="45">
        <v>1225</v>
      </c>
      <c r="B950" s="123"/>
      <c r="C950" s="123"/>
      <c r="D950" s="123"/>
      <c r="E950" s="123"/>
      <c r="F950" s="123"/>
      <c r="G950" s="127" t="s">
        <v>210</v>
      </c>
      <c r="H950" s="128">
        <v>2007</v>
      </c>
      <c r="I950" s="128" t="s">
        <v>38</v>
      </c>
      <c r="J950" s="128">
        <f t="shared" si="28"/>
        <v>12</v>
      </c>
      <c r="K950" s="128" t="s">
        <v>2172</v>
      </c>
      <c r="L950" s="128" t="s">
        <v>40</v>
      </c>
      <c r="M950" s="129" t="s">
        <v>201</v>
      </c>
      <c r="N950" s="129" t="s">
        <v>28</v>
      </c>
      <c r="O950" s="129" t="s">
        <v>28</v>
      </c>
      <c r="P950" s="129" t="str">
        <f t="shared" si="29"/>
        <v>N/A</v>
      </c>
      <c r="Q950" s="128" t="s">
        <v>2173</v>
      </c>
      <c r="R950" s="128">
        <v>2.37</v>
      </c>
      <c r="S950" s="130"/>
      <c r="T950" s="130" t="s">
        <v>2174</v>
      </c>
      <c r="U950" s="152"/>
    </row>
    <row r="951" spans="1:21" ht="15.75" hidden="1" thickBot="1">
      <c r="A951" s="45">
        <v>1225</v>
      </c>
      <c r="B951" s="123"/>
      <c r="C951" s="123"/>
      <c r="D951" s="123"/>
      <c r="E951" s="123"/>
      <c r="F951" s="123"/>
      <c r="G951" s="127" t="s">
        <v>210</v>
      </c>
      <c r="H951" s="128">
        <v>2007</v>
      </c>
      <c r="I951" s="128" t="s">
        <v>38</v>
      </c>
      <c r="J951" s="128">
        <f t="shared" si="28"/>
        <v>12</v>
      </c>
      <c r="K951" s="128" t="s">
        <v>2175</v>
      </c>
      <c r="L951" s="128" t="s">
        <v>30</v>
      </c>
      <c r="M951" s="129" t="s">
        <v>31</v>
      </c>
      <c r="N951" s="129" t="s">
        <v>28</v>
      </c>
      <c r="O951" s="129" t="s">
        <v>28</v>
      </c>
      <c r="P951" s="129" t="str">
        <f t="shared" si="29"/>
        <v>N/A</v>
      </c>
      <c r="Q951" s="128" t="s">
        <v>2176</v>
      </c>
      <c r="R951" s="128">
        <v>1.75</v>
      </c>
      <c r="S951" s="130"/>
      <c r="T951" s="130" t="s">
        <v>31</v>
      </c>
      <c r="U951" s="152"/>
    </row>
    <row r="952" spans="1:21" ht="15.75" hidden="1" thickBot="1">
      <c r="A952" s="45">
        <v>1225</v>
      </c>
      <c r="B952" s="123"/>
      <c r="C952" s="123"/>
      <c r="D952" s="123"/>
      <c r="E952" s="123"/>
      <c r="F952" s="123"/>
      <c r="G952" s="127" t="s">
        <v>210</v>
      </c>
      <c r="H952" s="128">
        <v>2007</v>
      </c>
      <c r="I952" s="128" t="s">
        <v>38</v>
      </c>
      <c r="J952" s="128">
        <f t="shared" si="28"/>
        <v>12</v>
      </c>
      <c r="K952" s="128" t="s">
        <v>2177</v>
      </c>
      <c r="L952" s="128" t="s">
        <v>30</v>
      </c>
      <c r="M952" s="129" t="s">
        <v>31</v>
      </c>
      <c r="N952" s="129" t="s">
        <v>28</v>
      </c>
      <c r="O952" s="129" t="s">
        <v>28</v>
      </c>
      <c r="P952" s="129" t="str">
        <f t="shared" si="29"/>
        <v>N/A</v>
      </c>
      <c r="Q952" s="128" t="s">
        <v>2178</v>
      </c>
      <c r="R952" s="128">
        <v>0.45</v>
      </c>
      <c r="S952" s="130"/>
      <c r="T952" s="130"/>
      <c r="U952" s="152"/>
    </row>
    <row r="953" spans="1:21" ht="15.75" hidden="1" thickBot="1">
      <c r="A953" s="45">
        <v>1225</v>
      </c>
      <c r="B953" s="123"/>
      <c r="C953" s="123"/>
      <c r="D953" s="123"/>
      <c r="E953" s="123"/>
      <c r="F953" s="123"/>
      <c r="G953" s="127" t="s">
        <v>210</v>
      </c>
      <c r="H953" s="128">
        <v>2007</v>
      </c>
      <c r="I953" s="128" t="s">
        <v>38</v>
      </c>
      <c r="J953" s="128">
        <f t="shared" si="28"/>
        <v>12</v>
      </c>
      <c r="K953" s="128" t="s">
        <v>2179</v>
      </c>
      <c r="L953" s="128" t="s">
        <v>30</v>
      </c>
      <c r="M953" s="129" t="s">
        <v>31</v>
      </c>
      <c r="N953" s="129" t="s">
        <v>28</v>
      </c>
      <c r="O953" s="129" t="s">
        <v>28</v>
      </c>
      <c r="P953" s="129" t="str">
        <f t="shared" si="29"/>
        <v>N/A</v>
      </c>
      <c r="Q953" s="128" t="s">
        <v>2180</v>
      </c>
      <c r="R953" s="128">
        <v>0.99</v>
      </c>
      <c r="S953" s="130"/>
      <c r="T953" s="130" t="s">
        <v>31</v>
      </c>
      <c r="U953" s="152"/>
    </row>
    <row r="954" spans="1:21" ht="15.75" hidden="1" thickBot="1">
      <c r="A954" s="45">
        <v>1225</v>
      </c>
      <c r="B954" s="123"/>
      <c r="C954" s="123"/>
      <c r="D954" s="123"/>
      <c r="E954" s="123"/>
      <c r="F954" s="123"/>
      <c r="G954" s="127" t="s">
        <v>210</v>
      </c>
      <c r="H954" s="128">
        <v>2007</v>
      </c>
      <c r="I954" s="128" t="s">
        <v>38</v>
      </c>
      <c r="J954" s="128">
        <f t="shared" si="28"/>
        <v>12</v>
      </c>
      <c r="K954" s="128" t="s">
        <v>2181</v>
      </c>
      <c r="L954" s="128" t="s">
        <v>30</v>
      </c>
      <c r="M954" s="129" t="s">
        <v>31</v>
      </c>
      <c r="N954" s="129" t="s">
        <v>28</v>
      </c>
      <c r="O954" s="129" t="s">
        <v>28</v>
      </c>
      <c r="P954" s="129" t="str">
        <f t="shared" si="29"/>
        <v>N/A</v>
      </c>
      <c r="Q954" s="128" t="s">
        <v>1891</v>
      </c>
      <c r="R954" s="128">
        <v>0.64</v>
      </c>
      <c r="S954" s="130"/>
      <c r="T954" s="130"/>
      <c r="U954" s="152"/>
    </row>
    <row r="955" spans="1:21" ht="15.75" hidden="1" thickBot="1">
      <c r="A955" s="45">
        <v>1225</v>
      </c>
      <c r="B955" s="123"/>
      <c r="C955" s="123"/>
      <c r="D955" s="123"/>
      <c r="E955" s="123"/>
      <c r="F955" s="123"/>
      <c r="G955" s="127" t="s">
        <v>210</v>
      </c>
      <c r="H955" s="128">
        <v>2007</v>
      </c>
      <c r="I955" s="128" t="s">
        <v>38</v>
      </c>
      <c r="J955" s="128">
        <f t="shared" si="28"/>
        <v>12</v>
      </c>
      <c r="K955" s="128" t="s">
        <v>2182</v>
      </c>
      <c r="L955" s="128" t="s">
        <v>30</v>
      </c>
      <c r="M955" s="129" t="s">
        <v>1003</v>
      </c>
      <c r="N955" s="129" t="s">
        <v>28</v>
      </c>
      <c r="O955" s="129" t="s">
        <v>28</v>
      </c>
      <c r="P955" s="129" t="str">
        <f t="shared" si="29"/>
        <v>N/A</v>
      </c>
      <c r="Q955" s="128" t="s">
        <v>1004</v>
      </c>
      <c r="R955" s="128">
        <v>5.86</v>
      </c>
      <c r="S955" s="130"/>
      <c r="T955" s="130"/>
      <c r="U955" s="152"/>
    </row>
    <row r="956" spans="1:21" ht="15.75" hidden="1" thickBot="1">
      <c r="A956" s="45">
        <v>1225</v>
      </c>
      <c r="B956" s="123"/>
      <c r="C956" s="123"/>
      <c r="D956" s="123"/>
      <c r="E956" s="123"/>
      <c r="F956" s="123"/>
      <c r="G956" s="127" t="s">
        <v>210</v>
      </c>
      <c r="H956" s="128">
        <v>2007</v>
      </c>
      <c r="I956" s="128" t="s">
        <v>38</v>
      </c>
      <c r="J956" s="128">
        <f t="shared" si="28"/>
        <v>12</v>
      </c>
      <c r="K956" s="128" t="s">
        <v>2183</v>
      </c>
      <c r="L956" s="128" t="s">
        <v>30</v>
      </c>
      <c r="M956" s="129" t="s">
        <v>31</v>
      </c>
      <c r="N956" s="129" t="s">
        <v>28</v>
      </c>
      <c r="O956" s="129" t="s">
        <v>28</v>
      </c>
      <c r="P956" s="129" t="str">
        <f t="shared" si="29"/>
        <v>N/A</v>
      </c>
      <c r="Q956" s="128" t="s">
        <v>2184</v>
      </c>
      <c r="R956" s="128">
        <v>1.24</v>
      </c>
      <c r="S956" s="130"/>
      <c r="T956" s="130" t="s">
        <v>31</v>
      </c>
      <c r="U956" s="152"/>
    </row>
    <row r="957" spans="1:21" ht="15.75" hidden="1" thickBot="1">
      <c r="A957" s="45">
        <v>1225</v>
      </c>
      <c r="B957" s="123"/>
      <c r="C957" s="123"/>
      <c r="D957" s="123"/>
      <c r="E957" s="123"/>
      <c r="F957" s="123"/>
      <c r="G957" s="127" t="s">
        <v>210</v>
      </c>
      <c r="H957" s="128">
        <v>2007</v>
      </c>
      <c r="I957" s="128" t="s">
        <v>38</v>
      </c>
      <c r="J957" s="128">
        <f t="shared" si="28"/>
        <v>12</v>
      </c>
      <c r="K957" s="128" t="s">
        <v>2185</v>
      </c>
      <c r="L957" s="128" t="s">
        <v>30</v>
      </c>
      <c r="M957" s="129" t="s">
        <v>201</v>
      </c>
      <c r="N957" s="129" t="s">
        <v>28</v>
      </c>
      <c r="O957" s="129" t="s">
        <v>28</v>
      </c>
      <c r="P957" s="129" t="str">
        <f t="shared" si="29"/>
        <v>N/A</v>
      </c>
      <c r="Q957" s="128" t="s">
        <v>2186</v>
      </c>
      <c r="R957" s="128">
        <v>1.26</v>
      </c>
      <c r="S957" s="130"/>
      <c r="T957" s="130" t="s">
        <v>998</v>
      </c>
      <c r="U957" s="152"/>
    </row>
    <row r="958" spans="1:21" ht="15.75" hidden="1" thickBot="1">
      <c r="A958" s="45">
        <v>1225</v>
      </c>
      <c r="B958" s="123"/>
      <c r="C958" s="123"/>
      <c r="D958" s="123"/>
      <c r="E958" s="123"/>
      <c r="F958" s="123"/>
      <c r="G958" s="127" t="s">
        <v>210</v>
      </c>
      <c r="H958" s="128">
        <v>2007</v>
      </c>
      <c r="I958" s="128" t="s">
        <v>38</v>
      </c>
      <c r="J958" s="128">
        <f t="shared" si="28"/>
        <v>12</v>
      </c>
      <c r="K958" s="128" t="s">
        <v>2187</v>
      </c>
      <c r="L958" s="128" t="s">
        <v>30</v>
      </c>
      <c r="M958" s="129" t="s">
        <v>31</v>
      </c>
      <c r="N958" s="129" t="s">
        <v>28</v>
      </c>
      <c r="O958" s="129" t="s">
        <v>28</v>
      </c>
      <c r="P958" s="129" t="str">
        <f t="shared" si="29"/>
        <v>N/A</v>
      </c>
      <c r="Q958" s="128" t="s">
        <v>2188</v>
      </c>
      <c r="R958" s="128">
        <v>0.36</v>
      </c>
      <c r="S958" s="130"/>
      <c r="T958" s="130"/>
      <c r="U958" s="152"/>
    </row>
    <row r="959" spans="1:21" ht="15.75" hidden="1" thickBot="1">
      <c r="A959" s="45">
        <v>1225</v>
      </c>
      <c r="B959" s="123"/>
      <c r="C959" s="123"/>
      <c r="D959" s="123"/>
      <c r="E959" s="123"/>
      <c r="F959" s="123"/>
      <c r="G959" s="127" t="s">
        <v>210</v>
      </c>
      <c r="H959" s="128">
        <v>2007</v>
      </c>
      <c r="I959" s="128" t="s">
        <v>38</v>
      </c>
      <c r="J959" s="128">
        <f t="shared" si="28"/>
        <v>12</v>
      </c>
      <c r="K959" s="128" t="s">
        <v>2189</v>
      </c>
      <c r="L959" s="128" t="s">
        <v>30</v>
      </c>
      <c r="M959" s="129" t="s">
        <v>31</v>
      </c>
      <c r="N959" s="129" t="s">
        <v>28</v>
      </c>
      <c r="O959" s="129" t="s">
        <v>28</v>
      </c>
      <c r="P959" s="129" t="str">
        <f t="shared" si="29"/>
        <v>N/A</v>
      </c>
      <c r="Q959" s="128" t="s">
        <v>2190</v>
      </c>
      <c r="R959" s="128">
        <v>6.33</v>
      </c>
      <c r="S959" s="130"/>
      <c r="T959" s="130" t="s">
        <v>31</v>
      </c>
      <c r="U959" s="152"/>
    </row>
    <row r="960" spans="1:21" ht="15.75" hidden="1" thickBot="1">
      <c r="A960" s="45">
        <v>1225</v>
      </c>
      <c r="B960" s="123"/>
      <c r="C960" s="123"/>
      <c r="D960" s="123"/>
      <c r="E960" s="123"/>
      <c r="F960" s="123"/>
      <c r="G960" s="127" t="s">
        <v>210</v>
      </c>
      <c r="H960" s="128">
        <v>2007</v>
      </c>
      <c r="I960" s="128" t="s">
        <v>38</v>
      </c>
      <c r="J960" s="128">
        <f t="shared" si="28"/>
        <v>12</v>
      </c>
      <c r="K960" s="128" t="s">
        <v>2191</v>
      </c>
      <c r="L960" s="128" t="s">
        <v>40</v>
      </c>
      <c r="M960" s="129" t="s">
        <v>34</v>
      </c>
      <c r="N960" s="129" t="s">
        <v>28</v>
      </c>
      <c r="O960" s="129" t="s">
        <v>28</v>
      </c>
      <c r="P960" s="129" t="str">
        <f t="shared" si="29"/>
        <v>N/A</v>
      </c>
      <c r="Q960" s="130"/>
      <c r="R960" s="128">
        <v>5.07</v>
      </c>
      <c r="S960" s="130"/>
      <c r="T960" s="130"/>
      <c r="U960" s="152"/>
    </row>
    <row r="961" spans="1:21" ht="15.75" hidden="1" thickBot="1">
      <c r="A961" s="45">
        <v>1225</v>
      </c>
      <c r="B961" s="123"/>
      <c r="C961" s="123"/>
      <c r="D961" s="123"/>
      <c r="E961" s="123"/>
      <c r="F961" s="123"/>
      <c r="G961" s="127" t="s">
        <v>210</v>
      </c>
      <c r="H961" s="128">
        <v>2007</v>
      </c>
      <c r="I961" s="128" t="s">
        <v>38</v>
      </c>
      <c r="J961" s="128">
        <f t="shared" si="28"/>
        <v>12</v>
      </c>
      <c r="K961" s="128" t="s">
        <v>252</v>
      </c>
      <c r="L961" s="128" t="s">
        <v>30</v>
      </c>
      <c r="M961" s="129" t="s">
        <v>31</v>
      </c>
      <c r="N961" s="129" t="s">
        <v>32</v>
      </c>
      <c r="O961" s="129" t="s">
        <v>32</v>
      </c>
      <c r="P961" s="129" t="str">
        <f t="shared" si="29"/>
        <v>Y</v>
      </c>
      <c r="Q961" s="132" t="s">
        <v>2192</v>
      </c>
      <c r="R961" s="128">
        <v>73.66</v>
      </c>
      <c r="S961" s="130"/>
      <c r="T961" s="130" t="s">
        <v>31</v>
      </c>
      <c r="U961" s="152"/>
    </row>
    <row r="962" spans="1:21" ht="15.75" thickBot="1">
      <c r="A962" s="45">
        <v>1226</v>
      </c>
      <c r="B962" s="123"/>
      <c r="C962" s="123"/>
      <c r="D962" s="123"/>
      <c r="E962" s="123"/>
      <c r="F962" s="123"/>
      <c r="G962" s="127" t="s">
        <v>210</v>
      </c>
      <c r="H962" s="128">
        <v>2007</v>
      </c>
      <c r="I962" s="128" t="s">
        <v>1825</v>
      </c>
      <c r="J962" s="128">
        <f t="shared" ref="J962:J1025" si="30">COUNTIF(A$2:A$2215, A962)</f>
        <v>2</v>
      </c>
      <c r="K962" s="128" t="s">
        <v>2193</v>
      </c>
      <c r="L962" s="128" t="s">
        <v>30</v>
      </c>
      <c r="M962" s="129" t="s">
        <v>34</v>
      </c>
      <c r="N962" s="129" t="s">
        <v>28</v>
      </c>
      <c r="O962" s="129"/>
      <c r="P962" s="129" t="str">
        <f t="shared" si="29"/>
        <v/>
      </c>
      <c r="Q962" s="130"/>
      <c r="R962" s="128">
        <v>26.14</v>
      </c>
      <c r="S962" s="130"/>
      <c r="T962" s="130"/>
      <c r="U962" s="152"/>
    </row>
    <row r="963" spans="1:21" ht="15.75" thickBot="1">
      <c r="A963" s="45">
        <v>1226</v>
      </c>
      <c r="B963" s="123"/>
      <c r="C963" s="123"/>
      <c r="D963" s="123"/>
      <c r="E963" s="123"/>
      <c r="F963" s="123"/>
      <c r="G963" s="127" t="s">
        <v>210</v>
      </c>
      <c r="H963" s="128">
        <v>2007</v>
      </c>
      <c r="I963" s="128" t="s">
        <v>1825</v>
      </c>
      <c r="J963" s="128">
        <f t="shared" si="30"/>
        <v>2</v>
      </c>
      <c r="K963" s="128" t="s">
        <v>253</v>
      </c>
      <c r="L963" s="128" t="s">
        <v>30</v>
      </c>
      <c r="M963" s="129" t="s">
        <v>31</v>
      </c>
      <c r="N963" s="129" t="s">
        <v>32</v>
      </c>
      <c r="O963" s="129"/>
      <c r="P963" s="129" t="str">
        <f t="shared" ref="P963:P1026" si="31">IF(O963="N", "N/A", IF(AND(N963="N",  O963="Y"), "N", IF(AND(O963="Y", N963="Y"), "Y", "")))</f>
        <v/>
      </c>
      <c r="Q963" s="132" t="s">
        <v>2194</v>
      </c>
      <c r="R963" s="128">
        <v>73.69</v>
      </c>
      <c r="S963" s="130"/>
      <c r="T963" s="130" t="s">
        <v>31</v>
      </c>
      <c r="U963" s="136"/>
    </row>
    <row r="964" spans="1:21" ht="51.75" thickBot="1">
      <c r="A964" s="45">
        <v>1227</v>
      </c>
      <c r="B964" s="123"/>
      <c r="C964" s="123"/>
      <c r="D964" s="123"/>
      <c r="E964" s="123"/>
      <c r="F964" s="123"/>
      <c r="G964" s="127" t="s">
        <v>210</v>
      </c>
      <c r="H964" s="128">
        <v>2007</v>
      </c>
      <c r="I964" s="128" t="s">
        <v>1748</v>
      </c>
      <c r="J964" s="128">
        <f t="shared" si="30"/>
        <v>1</v>
      </c>
      <c r="K964" s="128" t="s">
        <v>251</v>
      </c>
      <c r="L964" s="128" t="s">
        <v>40</v>
      </c>
      <c r="M964" s="129" t="s">
        <v>201</v>
      </c>
      <c r="N964" s="129" t="s">
        <v>32</v>
      </c>
      <c r="O964" s="129"/>
      <c r="P964" s="129" t="str">
        <f t="shared" si="31"/>
        <v/>
      </c>
      <c r="Q964" s="132" t="s">
        <v>2195</v>
      </c>
      <c r="R964" s="128">
        <v>98.5</v>
      </c>
      <c r="S964" s="130"/>
      <c r="T964" s="130" t="s">
        <v>2196</v>
      </c>
      <c r="U964" s="136"/>
    </row>
    <row r="965" spans="1:21" ht="15.75" hidden="1" thickBot="1">
      <c r="A965" s="45">
        <v>1218</v>
      </c>
      <c r="B965" s="123"/>
      <c r="C965" s="123"/>
      <c r="D965" s="123"/>
      <c r="E965" s="123"/>
      <c r="F965" s="123"/>
      <c r="G965" s="127" t="s">
        <v>210</v>
      </c>
      <c r="H965" s="128">
        <v>2008</v>
      </c>
      <c r="I965" s="128" t="s">
        <v>1826</v>
      </c>
      <c r="J965" s="128">
        <f t="shared" si="30"/>
        <v>9</v>
      </c>
      <c r="K965" s="128" t="s">
        <v>2197</v>
      </c>
      <c r="L965" s="128" t="s">
        <v>40</v>
      </c>
      <c r="M965" s="129" t="s">
        <v>34</v>
      </c>
      <c r="N965" s="129" t="s">
        <v>28</v>
      </c>
      <c r="O965" s="129" t="s">
        <v>28</v>
      </c>
      <c r="P965" s="129" t="str">
        <f t="shared" si="31"/>
        <v>N/A</v>
      </c>
      <c r="Q965" s="128" t="s">
        <v>2198</v>
      </c>
      <c r="R965" s="128">
        <v>14.66</v>
      </c>
      <c r="S965" s="128">
        <v>0</v>
      </c>
      <c r="T965" s="161" t="s">
        <v>2199</v>
      </c>
      <c r="U965" s="136"/>
    </row>
    <row r="966" spans="1:21" ht="15.75" hidden="1" thickBot="1">
      <c r="A966" s="45">
        <v>1218</v>
      </c>
      <c r="B966" s="123"/>
      <c r="C966" s="123"/>
      <c r="D966" s="123"/>
      <c r="E966" s="123"/>
      <c r="F966" s="123"/>
      <c r="G966" s="127" t="s">
        <v>210</v>
      </c>
      <c r="H966" s="128">
        <v>2008</v>
      </c>
      <c r="I966" s="128" t="s">
        <v>1826</v>
      </c>
      <c r="J966" s="128">
        <f t="shared" si="30"/>
        <v>9</v>
      </c>
      <c r="K966" s="128" t="s">
        <v>2200</v>
      </c>
      <c r="L966" s="128" t="s">
        <v>30</v>
      </c>
      <c r="M966" s="129" t="s">
        <v>31</v>
      </c>
      <c r="N966" s="129" t="s">
        <v>28</v>
      </c>
      <c r="O966" s="129" t="s">
        <v>28</v>
      </c>
      <c r="P966" s="129" t="str">
        <f t="shared" si="31"/>
        <v>N/A</v>
      </c>
      <c r="Q966" s="128" t="s">
        <v>2201</v>
      </c>
      <c r="R966" s="128">
        <v>3.47</v>
      </c>
      <c r="S966" s="128">
        <v>0</v>
      </c>
      <c r="T966" s="130" t="s">
        <v>31</v>
      </c>
      <c r="U966" s="136"/>
    </row>
    <row r="967" spans="1:21" ht="15.75" hidden="1" thickBot="1">
      <c r="A967" s="45">
        <v>1218</v>
      </c>
      <c r="B967" s="123"/>
      <c r="C967" s="123"/>
      <c r="D967" s="123"/>
      <c r="E967" s="123"/>
      <c r="F967" s="123"/>
      <c r="G967" s="127" t="s">
        <v>210</v>
      </c>
      <c r="H967" s="128">
        <v>2008</v>
      </c>
      <c r="I967" s="128" t="s">
        <v>1826</v>
      </c>
      <c r="J967" s="128">
        <f t="shared" si="30"/>
        <v>9</v>
      </c>
      <c r="K967" s="128" t="s">
        <v>232</v>
      </c>
      <c r="L967" s="128" t="s">
        <v>30</v>
      </c>
      <c r="M967" s="129" t="s">
        <v>34</v>
      </c>
      <c r="N967" s="129" t="s">
        <v>32</v>
      </c>
      <c r="O967" s="129" t="s">
        <v>28</v>
      </c>
      <c r="P967" s="129" t="str">
        <f t="shared" si="31"/>
        <v>N/A</v>
      </c>
      <c r="Q967" s="130"/>
      <c r="R967" s="128">
        <v>40.520000000000003</v>
      </c>
      <c r="S967" s="128">
        <v>50.67</v>
      </c>
      <c r="T967" s="130"/>
      <c r="U967" s="136"/>
    </row>
    <row r="968" spans="1:21" ht="15.75" hidden="1" thickBot="1">
      <c r="A968" s="45">
        <v>1218</v>
      </c>
      <c r="B968" s="123"/>
      <c r="C968" s="123"/>
      <c r="D968" s="123"/>
      <c r="E968" s="123"/>
      <c r="F968" s="123"/>
      <c r="G968" s="127" t="s">
        <v>210</v>
      </c>
      <c r="H968" s="128">
        <v>2008</v>
      </c>
      <c r="I968" s="128" t="s">
        <v>1826</v>
      </c>
      <c r="J968" s="128">
        <f t="shared" si="30"/>
        <v>9</v>
      </c>
      <c r="K968" s="128" t="s">
        <v>2202</v>
      </c>
      <c r="L968" s="128" t="s">
        <v>30</v>
      </c>
      <c r="M968" s="129" t="s">
        <v>201</v>
      </c>
      <c r="N968" s="129" t="s">
        <v>28</v>
      </c>
      <c r="O968" s="129" t="s">
        <v>28</v>
      </c>
      <c r="P968" s="129" t="str">
        <f t="shared" si="31"/>
        <v>N/A</v>
      </c>
      <c r="Q968" s="128" t="s">
        <v>2203</v>
      </c>
      <c r="R968" s="128">
        <v>1.26</v>
      </c>
      <c r="S968" s="128">
        <v>0</v>
      </c>
      <c r="T968" s="130" t="s">
        <v>1331</v>
      </c>
      <c r="U968" s="136"/>
    </row>
    <row r="969" spans="1:21" ht="15.75" hidden="1" thickBot="1">
      <c r="A969" s="45">
        <v>1218</v>
      </c>
      <c r="B969" s="123"/>
      <c r="C969" s="123"/>
      <c r="D969" s="123"/>
      <c r="E969" s="123"/>
      <c r="F969" s="123"/>
      <c r="G969" s="127" t="s">
        <v>210</v>
      </c>
      <c r="H969" s="128">
        <v>2008</v>
      </c>
      <c r="I969" s="128" t="s">
        <v>1826</v>
      </c>
      <c r="J969" s="128">
        <f t="shared" si="30"/>
        <v>9</v>
      </c>
      <c r="K969" s="128" t="s">
        <v>2204</v>
      </c>
      <c r="L969" s="128" t="s">
        <v>30</v>
      </c>
      <c r="M969" s="129" t="s">
        <v>31</v>
      </c>
      <c r="N969" s="129" t="s">
        <v>28</v>
      </c>
      <c r="O969" s="129" t="s">
        <v>28</v>
      </c>
      <c r="P969" s="129" t="str">
        <f t="shared" si="31"/>
        <v>N/A</v>
      </c>
      <c r="Q969" s="128" t="s">
        <v>2205</v>
      </c>
      <c r="R969" s="128">
        <v>1.1299999999999999</v>
      </c>
      <c r="S969" s="128">
        <v>0</v>
      </c>
      <c r="T969" s="130" t="s">
        <v>31</v>
      </c>
      <c r="U969" s="136"/>
    </row>
    <row r="970" spans="1:21" ht="15.75" hidden="1" thickBot="1">
      <c r="A970" s="45">
        <v>1218</v>
      </c>
      <c r="B970" s="123"/>
      <c r="C970" s="123"/>
      <c r="D970" s="123"/>
      <c r="E970" s="123"/>
      <c r="F970" s="123"/>
      <c r="G970" s="127" t="s">
        <v>210</v>
      </c>
      <c r="H970" s="128">
        <v>2008</v>
      </c>
      <c r="I970" s="128" t="s">
        <v>1826</v>
      </c>
      <c r="J970" s="128">
        <f t="shared" si="30"/>
        <v>9</v>
      </c>
      <c r="K970" s="128" t="s">
        <v>2206</v>
      </c>
      <c r="L970" s="128" t="s">
        <v>30</v>
      </c>
      <c r="M970" s="129" t="s">
        <v>31</v>
      </c>
      <c r="N970" s="129" t="s">
        <v>28</v>
      </c>
      <c r="O970" s="129" t="s">
        <v>28</v>
      </c>
      <c r="P970" s="129" t="str">
        <f t="shared" si="31"/>
        <v>N/A</v>
      </c>
      <c r="Q970" s="128" t="s">
        <v>2207</v>
      </c>
      <c r="R970" s="128">
        <v>2.13</v>
      </c>
      <c r="S970" s="128">
        <v>0</v>
      </c>
      <c r="T970" s="130" t="s">
        <v>31</v>
      </c>
      <c r="U970" s="136"/>
    </row>
    <row r="971" spans="1:21" ht="15.75" hidden="1" thickBot="1">
      <c r="A971" s="45">
        <v>1218</v>
      </c>
      <c r="B971" s="123"/>
      <c r="C971" s="123"/>
      <c r="D971" s="123"/>
      <c r="E971" s="123"/>
      <c r="F971" s="123"/>
      <c r="G971" s="127" t="s">
        <v>210</v>
      </c>
      <c r="H971" s="128">
        <v>2008</v>
      </c>
      <c r="I971" s="128" t="s">
        <v>1826</v>
      </c>
      <c r="J971" s="128">
        <f t="shared" si="30"/>
        <v>9</v>
      </c>
      <c r="K971" s="128" t="s">
        <v>2208</v>
      </c>
      <c r="L971" s="128" t="s">
        <v>30</v>
      </c>
      <c r="M971" s="129" t="s">
        <v>31</v>
      </c>
      <c r="N971" s="129" t="s">
        <v>28</v>
      </c>
      <c r="O971" s="129" t="s">
        <v>28</v>
      </c>
      <c r="P971" s="129" t="str">
        <f t="shared" si="31"/>
        <v>N/A</v>
      </c>
      <c r="Q971" s="132" t="s">
        <v>2209</v>
      </c>
      <c r="R971" s="128">
        <v>1.87</v>
      </c>
      <c r="S971" s="128">
        <v>0</v>
      </c>
      <c r="T971" s="130" t="s">
        <v>31</v>
      </c>
      <c r="U971" s="136"/>
    </row>
    <row r="972" spans="1:21" ht="15.75" hidden="1" thickBot="1">
      <c r="A972" s="45">
        <v>1218</v>
      </c>
      <c r="B972" s="123"/>
      <c r="C972" s="123"/>
      <c r="D972" s="123"/>
      <c r="E972" s="123"/>
      <c r="F972" s="123"/>
      <c r="G972" s="127" t="s">
        <v>210</v>
      </c>
      <c r="H972" s="128">
        <v>2008</v>
      </c>
      <c r="I972" s="128" t="s">
        <v>1826</v>
      </c>
      <c r="J972" s="128">
        <f t="shared" si="30"/>
        <v>9</v>
      </c>
      <c r="K972" s="128" t="s">
        <v>2210</v>
      </c>
      <c r="L972" s="128" t="s">
        <v>30</v>
      </c>
      <c r="M972" s="129" t="s">
        <v>34</v>
      </c>
      <c r="N972" s="129" t="s">
        <v>28</v>
      </c>
      <c r="O972" s="129" t="s">
        <v>28</v>
      </c>
      <c r="P972" s="129" t="str">
        <f t="shared" si="31"/>
        <v>N/A</v>
      </c>
      <c r="Q972" s="130"/>
      <c r="R972" s="128">
        <v>0.89</v>
      </c>
      <c r="S972" s="128">
        <v>0</v>
      </c>
      <c r="T972" s="130"/>
      <c r="U972" s="136"/>
    </row>
    <row r="973" spans="1:21" ht="51.75" hidden="1" thickBot="1">
      <c r="A973" s="45">
        <v>1218</v>
      </c>
      <c r="B973" s="123"/>
      <c r="C973" s="123"/>
      <c r="D973" s="123"/>
      <c r="E973" s="123"/>
      <c r="F973" s="123"/>
      <c r="G973" s="127" t="s">
        <v>210</v>
      </c>
      <c r="H973" s="128">
        <v>2008</v>
      </c>
      <c r="I973" s="128" t="s">
        <v>1826</v>
      </c>
      <c r="J973" s="128">
        <f t="shared" si="30"/>
        <v>9</v>
      </c>
      <c r="K973" s="128" t="s">
        <v>2211</v>
      </c>
      <c r="L973" s="128" t="s">
        <v>40</v>
      </c>
      <c r="M973" s="129" t="s">
        <v>34</v>
      </c>
      <c r="N973" s="129" t="s">
        <v>28</v>
      </c>
      <c r="O973" s="129" t="s">
        <v>28</v>
      </c>
      <c r="P973" s="129" t="str">
        <f t="shared" si="31"/>
        <v>N/A</v>
      </c>
      <c r="Q973" s="128" t="s">
        <v>2212</v>
      </c>
      <c r="R973" s="128">
        <v>33.93</v>
      </c>
      <c r="S973" s="128">
        <v>49.33</v>
      </c>
      <c r="T973" s="130" t="s">
        <v>2213</v>
      </c>
      <c r="U973" s="136"/>
    </row>
    <row r="974" spans="1:21" ht="15.75" hidden="1" thickBot="1">
      <c r="A974" s="45">
        <v>1219</v>
      </c>
      <c r="B974" s="123"/>
      <c r="C974" s="123"/>
      <c r="D974" s="123"/>
      <c r="E974" s="123"/>
      <c r="F974" s="123"/>
      <c r="G974" s="127" t="s">
        <v>210</v>
      </c>
      <c r="H974" s="128">
        <v>2008</v>
      </c>
      <c r="I974" s="128" t="s">
        <v>1835</v>
      </c>
      <c r="J974" s="128">
        <f t="shared" si="30"/>
        <v>9</v>
      </c>
      <c r="K974" s="128" t="s">
        <v>2214</v>
      </c>
      <c r="L974" s="128" t="s">
        <v>40</v>
      </c>
      <c r="M974" s="129" t="s">
        <v>34</v>
      </c>
      <c r="N974" s="129" t="s">
        <v>28</v>
      </c>
      <c r="O974" s="129" t="s">
        <v>28</v>
      </c>
      <c r="P974" s="129" t="str">
        <f t="shared" si="31"/>
        <v>N/A</v>
      </c>
      <c r="Q974" s="128" t="s">
        <v>2043</v>
      </c>
      <c r="R974" s="128">
        <v>9.2100000000000009</v>
      </c>
      <c r="S974" s="128">
        <v>0</v>
      </c>
      <c r="T974" s="130" t="s">
        <v>998</v>
      </c>
      <c r="U974" s="136"/>
    </row>
    <row r="975" spans="1:21" ht="15.75" hidden="1" thickBot="1">
      <c r="A975" s="45">
        <v>1219</v>
      </c>
      <c r="B975" s="123"/>
      <c r="C975" s="123"/>
      <c r="D975" s="123"/>
      <c r="E975" s="123"/>
      <c r="F975" s="123"/>
      <c r="G975" s="127" t="s">
        <v>210</v>
      </c>
      <c r="H975" s="128">
        <v>2008</v>
      </c>
      <c r="I975" s="128" t="s">
        <v>1835</v>
      </c>
      <c r="J975" s="128">
        <f t="shared" si="30"/>
        <v>9</v>
      </c>
      <c r="K975" s="128" t="s">
        <v>233</v>
      </c>
      <c r="L975" s="128" t="s">
        <v>30</v>
      </c>
      <c r="M975" s="129" t="s">
        <v>34</v>
      </c>
      <c r="N975" s="129" t="s">
        <v>32</v>
      </c>
      <c r="O975" s="129" t="s">
        <v>28</v>
      </c>
      <c r="P975" s="129" t="str">
        <f t="shared" si="31"/>
        <v>N/A</v>
      </c>
      <c r="Q975" s="130"/>
      <c r="R975" s="128">
        <v>37.72</v>
      </c>
      <c r="S975" s="128">
        <v>59.37</v>
      </c>
      <c r="T975" s="130"/>
      <c r="U975" s="136"/>
    </row>
    <row r="976" spans="1:21" ht="15.75" hidden="1" thickBot="1">
      <c r="A976" s="45">
        <v>1219</v>
      </c>
      <c r="B976" s="123"/>
      <c r="C976" s="123"/>
      <c r="D976" s="123"/>
      <c r="E976" s="123"/>
      <c r="F976" s="123"/>
      <c r="G976" s="127" t="s">
        <v>210</v>
      </c>
      <c r="H976" s="128">
        <v>2008</v>
      </c>
      <c r="I976" s="128" t="s">
        <v>1835</v>
      </c>
      <c r="J976" s="128">
        <f t="shared" si="30"/>
        <v>9</v>
      </c>
      <c r="K976" s="128" t="s">
        <v>2215</v>
      </c>
      <c r="L976" s="128" t="s">
        <v>40</v>
      </c>
      <c r="M976" s="129" t="s">
        <v>31</v>
      </c>
      <c r="N976" s="129" t="s">
        <v>28</v>
      </c>
      <c r="O976" s="129" t="s">
        <v>28</v>
      </c>
      <c r="P976" s="129" t="str">
        <f t="shared" si="31"/>
        <v>N/A</v>
      </c>
      <c r="Q976" s="128" t="s">
        <v>2043</v>
      </c>
      <c r="R976" s="128">
        <v>11.69</v>
      </c>
      <c r="S976" s="128">
        <v>0</v>
      </c>
      <c r="T976" s="130" t="s">
        <v>31</v>
      </c>
      <c r="U976" s="136"/>
    </row>
    <row r="977" spans="1:21" ht="15.75" hidden="1" thickBot="1">
      <c r="A977" s="45">
        <v>1219</v>
      </c>
      <c r="B977" s="123"/>
      <c r="C977" s="123"/>
      <c r="D977" s="123"/>
      <c r="E977" s="123"/>
      <c r="F977" s="123"/>
      <c r="G977" s="127" t="s">
        <v>210</v>
      </c>
      <c r="H977" s="128">
        <v>2008</v>
      </c>
      <c r="I977" s="128" t="s">
        <v>1835</v>
      </c>
      <c r="J977" s="128">
        <f t="shared" si="30"/>
        <v>9</v>
      </c>
      <c r="K977" s="128" t="s">
        <v>2216</v>
      </c>
      <c r="L977" s="128" t="s">
        <v>30</v>
      </c>
      <c r="M977" s="129" t="s">
        <v>31</v>
      </c>
      <c r="N977" s="129" t="s">
        <v>28</v>
      </c>
      <c r="O977" s="129" t="s">
        <v>28</v>
      </c>
      <c r="P977" s="129" t="str">
        <f t="shared" si="31"/>
        <v>N/A</v>
      </c>
      <c r="Q977" s="128" t="s">
        <v>2043</v>
      </c>
      <c r="R977" s="128">
        <v>23.16</v>
      </c>
      <c r="S977" s="128">
        <v>40.630000000000003</v>
      </c>
      <c r="T977" s="130" t="s">
        <v>31</v>
      </c>
      <c r="U977" s="136"/>
    </row>
    <row r="978" spans="1:21" ht="15.75" hidden="1" thickBot="1">
      <c r="A978" s="45">
        <v>1219</v>
      </c>
      <c r="B978" s="123"/>
      <c r="C978" s="123"/>
      <c r="D978" s="123"/>
      <c r="E978" s="123"/>
      <c r="F978" s="123"/>
      <c r="G978" s="127" t="s">
        <v>210</v>
      </c>
      <c r="H978" s="128">
        <v>2008</v>
      </c>
      <c r="I978" s="128" t="s">
        <v>1835</v>
      </c>
      <c r="J978" s="128">
        <f t="shared" si="30"/>
        <v>9</v>
      </c>
      <c r="K978" s="128" t="s">
        <v>2217</v>
      </c>
      <c r="L978" s="128" t="s">
        <v>40</v>
      </c>
      <c r="M978" s="129" t="s">
        <v>31</v>
      </c>
      <c r="N978" s="129" t="s">
        <v>28</v>
      </c>
      <c r="O978" s="129" t="s">
        <v>28</v>
      </c>
      <c r="P978" s="129" t="str">
        <f t="shared" si="31"/>
        <v>N/A</v>
      </c>
      <c r="Q978" s="128" t="s">
        <v>2043</v>
      </c>
      <c r="R978" s="128">
        <v>4.5599999999999996</v>
      </c>
      <c r="S978" s="128">
        <v>0</v>
      </c>
      <c r="T978" s="130" t="s">
        <v>31</v>
      </c>
      <c r="U978" s="136"/>
    </row>
    <row r="979" spans="1:21" ht="15.75" hidden="1" thickBot="1">
      <c r="A979" s="45">
        <v>1219</v>
      </c>
      <c r="B979" s="123"/>
      <c r="C979" s="123"/>
      <c r="D979" s="123"/>
      <c r="E979" s="123"/>
      <c r="F979" s="123"/>
      <c r="G979" s="127" t="s">
        <v>210</v>
      </c>
      <c r="H979" s="128">
        <v>2008</v>
      </c>
      <c r="I979" s="128" t="s">
        <v>1835</v>
      </c>
      <c r="J979" s="128">
        <f t="shared" si="30"/>
        <v>9</v>
      </c>
      <c r="K979" s="128" t="s">
        <v>2218</v>
      </c>
      <c r="L979" s="128" t="s">
        <v>30</v>
      </c>
      <c r="M979" s="129" t="s">
        <v>1003</v>
      </c>
      <c r="N979" s="129" t="s">
        <v>28</v>
      </c>
      <c r="O979" s="129" t="s">
        <v>28</v>
      </c>
      <c r="P979" s="129" t="str">
        <f t="shared" si="31"/>
        <v>N/A</v>
      </c>
      <c r="Q979" s="130"/>
      <c r="R979" s="128">
        <v>0.75</v>
      </c>
      <c r="S979" s="128">
        <v>0</v>
      </c>
      <c r="T979" s="130"/>
      <c r="U979" s="136"/>
    </row>
    <row r="980" spans="1:21" ht="15.75" hidden="1" thickBot="1">
      <c r="A980" s="45">
        <v>1219</v>
      </c>
      <c r="B980" s="123"/>
      <c r="C980" s="123"/>
      <c r="D980" s="123"/>
      <c r="E980" s="123"/>
      <c r="F980" s="123"/>
      <c r="G980" s="127" t="s">
        <v>210</v>
      </c>
      <c r="H980" s="128">
        <v>2008</v>
      </c>
      <c r="I980" s="128" t="s">
        <v>1835</v>
      </c>
      <c r="J980" s="128">
        <f t="shared" si="30"/>
        <v>9</v>
      </c>
      <c r="K980" s="128" t="s">
        <v>2219</v>
      </c>
      <c r="L980" s="128" t="s">
        <v>30</v>
      </c>
      <c r="M980" s="129" t="s">
        <v>31</v>
      </c>
      <c r="N980" s="129" t="s">
        <v>28</v>
      </c>
      <c r="O980" s="129" t="s">
        <v>28</v>
      </c>
      <c r="P980" s="129" t="str">
        <f t="shared" si="31"/>
        <v>N/A</v>
      </c>
      <c r="Q980" s="128" t="s">
        <v>2043</v>
      </c>
      <c r="R980" s="128">
        <v>4.91</v>
      </c>
      <c r="S980" s="128">
        <v>0</v>
      </c>
      <c r="T980" s="130" t="s">
        <v>31</v>
      </c>
      <c r="U980" s="136"/>
    </row>
    <row r="981" spans="1:21" ht="15.75" hidden="1" thickBot="1">
      <c r="A981" s="45">
        <v>1219</v>
      </c>
      <c r="B981" s="123"/>
      <c r="C981" s="123"/>
      <c r="D981" s="123"/>
      <c r="E981" s="123"/>
      <c r="F981" s="123"/>
      <c r="G981" s="127" t="s">
        <v>210</v>
      </c>
      <c r="H981" s="128">
        <v>2008</v>
      </c>
      <c r="I981" s="128" t="s">
        <v>1835</v>
      </c>
      <c r="J981" s="128">
        <f t="shared" si="30"/>
        <v>9</v>
      </c>
      <c r="K981" s="128" t="s">
        <v>2220</v>
      </c>
      <c r="L981" s="144" t="s">
        <v>30</v>
      </c>
      <c r="M981" s="129" t="s">
        <v>31</v>
      </c>
      <c r="N981" s="129" t="s">
        <v>28</v>
      </c>
      <c r="O981" s="129" t="s">
        <v>28</v>
      </c>
      <c r="P981" s="129" t="str">
        <f t="shared" si="31"/>
        <v>N/A</v>
      </c>
      <c r="Q981" s="128" t="s">
        <v>2043</v>
      </c>
      <c r="R981" s="128">
        <v>4.4000000000000004</v>
      </c>
      <c r="S981" s="128">
        <v>0</v>
      </c>
      <c r="T981" s="130" t="s">
        <v>31</v>
      </c>
      <c r="U981" s="136"/>
    </row>
    <row r="982" spans="1:21" ht="15.75" hidden="1" thickBot="1">
      <c r="A982" s="45">
        <v>1219</v>
      </c>
      <c r="B982" s="123"/>
      <c r="C982" s="123"/>
      <c r="D982" s="123"/>
      <c r="E982" s="123"/>
      <c r="F982" s="123"/>
      <c r="G982" s="127" t="s">
        <v>210</v>
      </c>
      <c r="H982" s="128">
        <v>2008</v>
      </c>
      <c r="I982" s="128" t="s">
        <v>1835</v>
      </c>
      <c r="J982" s="128">
        <f t="shared" si="30"/>
        <v>9</v>
      </c>
      <c r="K982" s="128" t="s">
        <v>2191</v>
      </c>
      <c r="L982" s="128" t="s">
        <v>40</v>
      </c>
      <c r="M982" s="129" t="s">
        <v>34</v>
      </c>
      <c r="N982" s="129" t="s">
        <v>28</v>
      </c>
      <c r="O982" s="129" t="s">
        <v>28</v>
      </c>
      <c r="P982" s="129" t="str">
        <f t="shared" si="31"/>
        <v>N/A</v>
      </c>
      <c r="Q982" s="138" t="s">
        <v>2043</v>
      </c>
      <c r="R982" s="128">
        <v>3.47</v>
      </c>
      <c r="S982" s="128">
        <v>0</v>
      </c>
      <c r="T982" s="130" t="s">
        <v>998</v>
      </c>
      <c r="U982" s="136"/>
    </row>
    <row r="983" spans="1:21" ht="15.75" hidden="1" thickBot="1">
      <c r="A983" s="45">
        <v>1220</v>
      </c>
      <c r="B983" s="123"/>
      <c r="C983" s="123"/>
      <c r="D983" s="123"/>
      <c r="E983" s="123"/>
      <c r="F983" s="123"/>
      <c r="G983" s="127" t="s">
        <v>210</v>
      </c>
      <c r="H983" s="128">
        <v>2008</v>
      </c>
      <c r="I983" s="128" t="s">
        <v>1850</v>
      </c>
      <c r="J983" s="128">
        <f t="shared" si="30"/>
        <v>3</v>
      </c>
      <c r="K983" s="128" t="s">
        <v>2221</v>
      </c>
      <c r="L983" s="128" t="s">
        <v>30</v>
      </c>
      <c r="M983" s="129" t="s">
        <v>31</v>
      </c>
      <c r="N983" s="129" t="s">
        <v>28</v>
      </c>
      <c r="O983" s="129" t="s">
        <v>28</v>
      </c>
      <c r="P983" s="129" t="str">
        <f t="shared" si="31"/>
        <v>N/A</v>
      </c>
      <c r="Q983" s="128" t="s">
        <v>2222</v>
      </c>
      <c r="R983" s="128">
        <v>12.3</v>
      </c>
      <c r="S983" s="130"/>
      <c r="T983" s="130" t="s">
        <v>31</v>
      </c>
      <c r="U983" s="136"/>
    </row>
    <row r="984" spans="1:21" ht="15.75" hidden="1" thickBot="1">
      <c r="A984" s="45">
        <v>1220</v>
      </c>
      <c r="B984" s="123"/>
      <c r="C984" s="123"/>
      <c r="D984" s="123"/>
      <c r="E984" s="123"/>
      <c r="F984" s="123"/>
      <c r="G984" s="127" t="s">
        <v>210</v>
      </c>
      <c r="H984" s="128">
        <v>2008</v>
      </c>
      <c r="I984" s="128" t="s">
        <v>1850</v>
      </c>
      <c r="J984" s="128">
        <f t="shared" si="30"/>
        <v>3</v>
      </c>
      <c r="K984" s="128" t="s">
        <v>1856</v>
      </c>
      <c r="L984" s="128" t="s">
        <v>30</v>
      </c>
      <c r="M984" s="129" t="s">
        <v>1013</v>
      </c>
      <c r="N984" s="129" t="s">
        <v>28</v>
      </c>
      <c r="O984" s="129" t="s">
        <v>28</v>
      </c>
      <c r="P984" s="129" t="str">
        <f t="shared" si="31"/>
        <v>N/A</v>
      </c>
      <c r="Q984" s="128" t="s">
        <v>2223</v>
      </c>
      <c r="R984" s="128">
        <v>35.15</v>
      </c>
      <c r="S984" s="130"/>
      <c r="T984" s="130" t="s">
        <v>2174</v>
      </c>
      <c r="U984" s="136"/>
    </row>
    <row r="985" spans="1:21" ht="15.75" hidden="1" thickBot="1">
      <c r="A985" s="45">
        <v>1220</v>
      </c>
      <c r="B985" s="123"/>
      <c r="C985" s="123"/>
      <c r="D985" s="123"/>
      <c r="E985" s="123"/>
      <c r="F985" s="123"/>
      <c r="G985" s="127" t="s">
        <v>210</v>
      </c>
      <c r="H985" s="128">
        <v>2008</v>
      </c>
      <c r="I985" s="128" t="s">
        <v>1850</v>
      </c>
      <c r="J985" s="128">
        <f t="shared" si="30"/>
        <v>3</v>
      </c>
      <c r="K985" s="128" t="s">
        <v>214</v>
      </c>
      <c r="L985" s="128" t="s">
        <v>40</v>
      </c>
      <c r="M985" s="129" t="s">
        <v>34</v>
      </c>
      <c r="N985" s="129" t="s">
        <v>32</v>
      </c>
      <c r="O985" s="129" t="s">
        <v>32</v>
      </c>
      <c r="P985" s="129" t="str">
        <f t="shared" si="31"/>
        <v>Y</v>
      </c>
      <c r="Q985" s="130"/>
      <c r="R985" s="128">
        <v>52.37</v>
      </c>
      <c r="S985" s="130"/>
      <c r="T985" s="130"/>
      <c r="U985" s="136"/>
    </row>
    <row r="986" spans="1:21" ht="15.75" hidden="1" thickBot="1">
      <c r="A986" s="45">
        <v>1221</v>
      </c>
      <c r="B986" s="123"/>
      <c r="C986" s="123"/>
      <c r="D986" s="123"/>
      <c r="E986" s="123"/>
      <c r="F986" s="123"/>
      <c r="G986" s="127" t="s">
        <v>210</v>
      </c>
      <c r="H986" s="128">
        <v>2008</v>
      </c>
      <c r="I986" s="128" t="s">
        <v>1860</v>
      </c>
      <c r="J986" s="128">
        <f t="shared" si="30"/>
        <v>3</v>
      </c>
      <c r="K986" s="128" t="s">
        <v>2224</v>
      </c>
      <c r="L986" s="128" t="s">
        <v>30</v>
      </c>
      <c r="M986" s="129" t="s">
        <v>31</v>
      </c>
      <c r="N986" s="129" t="s">
        <v>28</v>
      </c>
      <c r="O986" s="129" t="s">
        <v>28</v>
      </c>
      <c r="P986" s="129" t="str">
        <f t="shared" si="31"/>
        <v>N/A</v>
      </c>
      <c r="Q986" s="138" t="s">
        <v>2225</v>
      </c>
      <c r="R986" s="128">
        <v>16.79</v>
      </c>
      <c r="S986" s="130"/>
      <c r="T986" s="130" t="s">
        <v>998</v>
      </c>
      <c r="U986" s="136"/>
    </row>
    <row r="987" spans="1:21" ht="15.75" hidden="1" thickBot="1">
      <c r="A987" s="45">
        <v>1221</v>
      </c>
      <c r="B987" s="123"/>
      <c r="C987" s="123"/>
      <c r="D987" s="123"/>
      <c r="E987" s="123"/>
      <c r="F987" s="123"/>
      <c r="G987" s="127" t="s">
        <v>210</v>
      </c>
      <c r="H987" s="128">
        <v>2008</v>
      </c>
      <c r="I987" s="128" t="s">
        <v>1860</v>
      </c>
      <c r="J987" s="128">
        <f t="shared" si="30"/>
        <v>3</v>
      </c>
      <c r="K987" s="128" t="s">
        <v>1877</v>
      </c>
      <c r="L987" s="128" t="s">
        <v>30</v>
      </c>
      <c r="M987" s="129" t="s">
        <v>1003</v>
      </c>
      <c r="N987" s="129" t="s">
        <v>28</v>
      </c>
      <c r="O987" s="129" t="s">
        <v>28</v>
      </c>
      <c r="P987" s="129" t="str">
        <f t="shared" si="31"/>
        <v>N/A</v>
      </c>
      <c r="Q987" s="128" t="s">
        <v>2226</v>
      </c>
      <c r="R987" s="128">
        <v>5.58</v>
      </c>
      <c r="S987" s="130"/>
      <c r="T987" s="130"/>
      <c r="U987" s="136"/>
    </row>
    <row r="988" spans="1:21" ht="15.75" hidden="1" thickBot="1">
      <c r="A988" s="45">
        <v>1221</v>
      </c>
      <c r="B988" s="123"/>
      <c r="C988" s="123"/>
      <c r="D988" s="123"/>
      <c r="E988" s="123"/>
      <c r="F988" s="123"/>
      <c r="G988" s="127" t="s">
        <v>210</v>
      </c>
      <c r="H988" s="128">
        <v>2008</v>
      </c>
      <c r="I988" s="128" t="s">
        <v>1860</v>
      </c>
      <c r="J988" s="128">
        <f t="shared" si="30"/>
        <v>3</v>
      </c>
      <c r="K988" s="128" t="s">
        <v>2073</v>
      </c>
      <c r="L988" s="128" t="s">
        <v>30</v>
      </c>
      <c r="M988" s="129" t="s">
        <v>912</v>
      </c>
      <c r="N988" s="129" t="s">
        <v>32</v>
      </c>
      <c r="O988" s="129" t="s">
        <v>32</v>
      </c>
      <c r="P988" s="129" t="str">
        <f t="shared" si="31"/>
        <v>Y</v>
      </c>
      <c r="Q988" s="130"/>
      <c r="R988" s="128">
        <v>77.39</v>
      </c>
      <c r="S988" s="130"/>
      <c r="T988" s="130"/>
      <c r="U988" s="136"/>
    </row>
    <row r="989" spans="1:21" ht="15.75" hidden="1" thickBot="1">
      <c r="A989" s="45">
        <v>1222</v>
      </c>
      <c r="B989" s="123"/>
      <c r="C989" s="123"/>
      <c r="D989" s="123"/>
      <c r="E989" s="123"/>
      <c r="F989" s="123"/>
      <c r="G989" s="127" t="s">
        <v>210</v>
      </c>
      <c r="H989" s="128">
        <v>2008</v>
      </c>
      <c r="I989" s="128" t="s">
        <v>1902</v>
      </c>
      <c r="J989" s="128">
        <f t="shared" si="30"/>
        <v>3</v>
      </c>
      <c r="K989" s="128" t="s">
        <v>2227</v>
      </c>
      <c r="L989" s="128" t="s">
        <v>30</v>
      </c>
      <c r="M989" s="129" t="s">
        <v>31</v>
      </c>
      <c r="N989" s="129" t="s">
        <v>28</v>
      </c>
      <c r="O989" s="129" t="s">
        <v>28</v>
      </c>
      <c r="P989" s="129" t="str">
        <f t="shared" si="31"/>
        <v>N/A</v>
      </c>
      <c r="Q989" s="128" t="s">
        <v>2228</v>
      </c>
      <c r="R989" s="128">
        <v>9.57</v>
      </c>
      <c r="S989" s="130"/>
      <c r="T989" s="130" t="s">
        <v>31</v>
      </c>
      <c r="U989" s="136"/>
    </row>
    <row r="990" spans="1:21" ht="15.75" hidden="1" thickBot="1">
      <c r="A990" s="45">
        <v>1222</v>
      </c>
      <c r="B990" s="123"/>
      <c r="C990" s="123"/>
      <c r="D990" s="123"/>
      <c r="E990" s="123"/>
      <c r="F990" s="123"/>
      <c r="G990" s="127" t="s">
        <v>210</v>
      </c>
      <c r="H990" s="128">
        <v>2008</v>
      </c>
      <c r="I990" s="128" t="s">
        <v>1902</v>
      </c>
      <c r="J990" s="128">
        <f t="shared" si="30"/>
        <v>3</v>
      </c>
      <c r="K990" s="128" t="s">
        <v>2229</v>
      </c>
      <c r="L990" s="128" t="s">
        <v>30</v>
      </c>
      <c r="M990" s="129" t="s">
        <v>1003</v>
      </c>
      <c r="N990" s="129" t="s">
        <v>28</v>
      </c>
      <c r="O990" s="129" t="s">
        <v>28</v>
      </c>
      <c r="P990" s="129" t="str">
        <f t="shared" si="31"/>
        <v>N/A</v>
      </c>
      <c r="Q990" s="132" t="s">
        <v>2230</v>
      </c>
      <c r="R990" s="128">
        <v>18.690000000000001</v>
      </c>
      <c r="S990" s="130"/>
      <c r="T990" s="130"/>
      <c r="U990" s="136"/>
    </row>
    <row r="991" spans="1:21" ht="15.75" hidden="1" thickBot="1">
      <c r="A991" s="45">
        <v>1222</v>
      </c>
      <c r="B991" s="123"/>
      <c r="C991" s="123"/>
      <c r="D991" s="123"/>
      <c r="E991" s="123"/>
      <c r="F991" s="123"/>
      <c r="G991" s="127" t="s">
        <v>210</v>
      </c>
      <c r="H991" s="128">
        <v>2008</v>
      </c>
      <c r="I991" s="128" t="s">
        <v>1902</v>
      </c>
      <c r="J991" s="128">
        <f t="shared" si="30"/>
        <v>3</v>
      </c>
      <c r="K991" s="128" t="s">
        <v>2092</v>
      </c>
      <c r="L991" s="128" t="s">
        <v>30</v>
      </c>
      <c r="M991" s="129" t="s">
        <v>31</v>
      </c>
      <c r="N991" s="129" t="s">
        <v>32</v>
      </c>
      <c r="O991" s="129" t="s">
        <v>32</v>
      </c>
      <c r="P991" s="129" t="str">
        <f t="shared" si="31"/>
        <v>Y</v>
      </c>
      <c r="Q991" s="132" t="s">
        <v>2231</v>
      </c>
      <c r="R991" s="128">
        <v>71.06</v>
      </c>
      <c r="S991" s="130"/>
      <c r="T991" s="130"/>
      <c r="U991" s="136"/>
    </row>
    <row r="992" spans="1:21" ht="15.75" hidden="1" thickBot="1">
      <c r="A992" s="45">
        <v>1223</v>
      </c>
      <c r="B992" s="123"/>
      <c r="C992" s="123"/>
      <c r="D992" s="123"/>
      <c r="E992" s="123"/>
      <c r="F992" s="123"/>
      <c r="G992" s="127" t="s">
        <v>210</v>
      </c>
      <c r="H992" s="128">
        <v>2008</v>
      </c>
      <c r="I992" s="128" t="s">
        <v>1922</v>
      </c>
      <c r="J992" s="128">
        <f t="shared" si="30"/>
        <v>7</v>
      </c>
      <c r="K992" s="128" t="s">
        <v>237</v>
      </c>
      <c r="L992" s="128" t="s">
        <v>30</v>
      </c>
      <c r="M992" s="129" t="s">
        <v>1065</v>
      </c>
      <c r="N992" s="129" t="s">
        <v>32</v>
      </c>
      <c r="O992" s="129" t="s">
        <v>28</v>
      </c>
      <c r="P992" s="129" t="str">
        <f t="shared" si="31"/>
        <v>N/A</v>
      </c>
      <c r="Q992" s="130"/>
      <c r="R992" s="128">
        <v>35.78</v>
      </c>
      <c r="S992" s="128">
        <v>53.83</v>
      </c>
      <c r="T992" s="130"/>
      <c r="U992" s="136"/>
    </row>
    <row r="993" spans="1:21" ht="15.75" hidden="1" thickBot="1">
      <c r="A993" s="45">
        <v>1223</v>
      </c>
      <c r="B993" s="123"/>
      <c r="C993" s="123"/>
      <c r="D993" s="123"/>
      <c r="E993" s="123"/>
      <c r="F993" s="123"/>
      <c r="G993" s="127" t="s">
        <v>210</v>
      </c>
      <c r="H993" s="128">
        <v>2008</v>
      </c>
      <c r="I993" s="128" t="s">
        <v>1922</v>
      </c>
      <c r="J993" s="128">
        <f t="shared" si="30"/>
        <v>7</v>
      </c>
      <c r="K993" s="128" t="s">
        <v>2232</v>
      </c>
      <c r="L993" s="128" t="s">
        <v>30</v>
      </c>
      <c r="M993" s="129" t="s">
        <v>1065</v>
      </c>
      <c r="N993" s="129" t="s">
        <v>28</v>
      </c>
      <c r="O993" s="129" t="s">
        <v>28</v>
      </c>
      <c r="P993" s="129" t="str">
        <f t="shared" si="31"/>
        <v>N/A</v>
      </c>
      <c r="Q993" s="128" t="s">
        <v>2233</v>
      </c>
      <c r="R993" s="128">
        <v>20.23</v>
      </c>
      <c r="S993" s="128">
        <v>0</v>
      </c>
      <c r="T993" s="130" t="s">
        <v>1376</v>
      </c>
      <c r="U993" s="136"/>
    </row>
    <row r="994" spans="1:21" ht="15.75" hidden="1" thickBot="1">
      <c r="A994" s="45">
        <v>1223</v>
      </c>
      <c r="B994" s="123"/>
      <c r="C994" s="123"/>
      <c r="D994" s="123"/>
      <c r="E994" s="123"/>
      <c r="F994" s="123"/>
      <c r="G994" s="127" t="s">
        <v>210</v>
      </c>
      <c r="H994" s="128">
        <v>2008</v>
      </c>
      <c r="I994" s="128" t="s">
        <v>1922</v>
      </c>
      <c r="J994" s="128">
        <f t="shared" si="30"/>
        <v>7</v>
      </c>
      <c r="K994" s="128" t="s">
        <v>2234</v>
      </c>
      <c r="L994" s="128" t="s">
        <v>30</v>
      </c>
      <c r="M994" s="129" t="s">
        <v>31</v>
      </c>
      <c r="N994" s="129" t="s">
        <v>28</v>
      </c>
      <c r="O994" s="129" t="s">
        <v>28</v>
      </c>
      <c r="P994" s="129" t="str">
        <f t="shared" si="31"/>
        <v>N/A</v>
      </c>
      <c r="Q994" s="128" t="s">
        <v>2235</v>
      </c>
      <c r="R994" s="128">
        <v>3.04</v>
      </c>
      <c r="S994" s="128">
        <v>0</v>
      </c>
      <c r="T994" s="130" t="s">
        <v>31</v>
      </c>
      <c r="U994" s="136"/>
    </row>
    <row r="995" spans="1:21" ht="15.75" hidden="1" thickBot="1">
      <c r="A995" s="45">
        <v>1223</v>
      </c>
      <c r="B995" s="123"/>
      <c r="C995" s="123"/>
      <c r="D995" s="123"/>
      <c r="E995" s="123"/>
      <c r="F995" s="123"/>
      <c r="G995" s="127" t="s">
        <v>210</v>
      </c>
      <c r="H995" s="128">
        <v>2008</v>
      </c>
      <c r="I995" s="128" t="s">
        <v>1922</v>
      </c>
      <c r="J995" s="128">
        <f t="shared" si="30"/>
        <v>7</v>
      </c>
      <c r="K995" s="128" t="s">
        <v>2236</v>
      </c>
      <c r="L995" s="128" t="s">
        <v>40</v>
      </c>
      <c r="M995" s="129" t="s">
        <v>1065</v>
      </c>
      <c r="N995" s="129" t="s">
        <v>28</v>
      </c>
      <c r="O995" s="129" t="s">
        <v>28</v>
      </c>
      <c r="P995" s="129" t="str">
        <f t="shared" si="31"/>
        <v>N/A</v>
      </c>
      <c r="Q995" s="128" t="s">
        <v>2237</v>
      </c>
      <c r="R995" s="128">
        <v>6.94</v>
      </c>
      <c r="S995" s="128">
        <v>0</v>
      </c>
      <c r="T995" s="130" t="s">
        <v>998</v>
      </c>
      <c r="U995" s="136"/>
    </row>
    <row r="996" spans="1:21" ht="15.75" hidden="1" thickBot="1">
      <c r="A996" s="45">
        <v>1223</v>
      </c>
      <c r="B996" s="123"/>
      <c r="C996" s="123"/>
      <c r="D996" s="123"/>
      <c r="E996" s="123"/>
      <c r="F996" s="123"/>
      <c r="G996" s="127" t="s">
        <v>210</v>
      </c>
      <c r="H996" s="128">
        <v>2008</v>
      </c>
      <c r="I996" s="128" t="s">
        <v>1922</v>
      </c>
      <c r="J996" s="128">
        <f t="shared" si="30"/>
        <v>7</v>
      </c>
      <c r="K996" s="128" t="s">
        <v>2238</v>
      </c>
      <c r="L996" s="128" t="s">
        <v>30</v>
      </c>
      <c r="M996" s="129" t="s">
        <v>1065</v>
      </c>
      <c r="N996" s="129" t="s">
        <v>28</v>
      </c>
      <c r="O996" s="129" t="s">
        <v>28</v>
      </c>
      <c r="P996" s="129" t="str">
        <f t="shared" si="31"/>
        <v>N/A</v>
      </c>
      <c r="Q996" s="128" t="s">
        <v>2239</v>
      </c>
      <c r="R996" s="128">
        <v>28.86</v>
      </c>
      <c r="S996" s="128">
        <v>46.17</v>
      </c>
      <c r="T996" s="130" t="s">
        <v>998</v>
      </c>
      <c r="U996" s="136"/>
    </row>
    <row r="997" spans="1:21" ht="15.75" hidden="1" thickBot="1">
      <c r="A997" s="45">
        <v>1223</v>
      </c>
      <c r="B997" s="123"/>
      <c r="C997" s="123"/>
      <c r="D997" s="123"/>
      <c r="E997" s="123"/>
      <c r="F997" s="123"/>
      <c r="G997" s="127" t="s">
        <v>210</v>
      </c>
      <c r="H997" s="128">
        <v>2008</v>
      </c>
      <c r="I997" s="128" t="s">
        <v>1922</v>
      </c>
      <c r="J997" s="128">
        <f t="shared" si="30"/>
        <v>7</v>
      </c>
      <c r="K997" s="128" t="s">
        <v>2240</v>
      </c>
      <c r="L997" s="128" t="s">
        <v>30</v>
      </c>
      <c r="M997" s="129" t="s">
        <v>1003</v>
      </c>
      <c r="N997" s="129" t="s">
        <v>28</v>
      </c>
      <c r="O997" s="129" t="s">
        <v>28</v>
      </c>
      <c r="P997" s="129" t="str">
        <f t="shared" si="31"/>
        <v>N/A</v>
      </c>
      <c r="Q997" s="132" t="s">
        <v>2241</v>
      </c>
      <c r="R997" s="128">
        <v>3.25</v>
      </c>
      <c r="S997" s="128">
        <v>0</v>
      </c>
      <c r="T997" s="130"/>
      <c r="U997" s="136"/>
    </row>
    <row r="998" spans="1:21" ht="15.75" hidden="1" thickBot="1">
      <c r="A998" s="45">
        <v>1223</v>
      </c>
      <c r="B998" s="123"/>
      <c r="C998" s="123"/>
      <c r="D998" s="123"/>
      <c r="E998" s="123"/>
      <c r="F998" s="123"/>
      <c r="G998" s="127" t="s">
        <v>210</v>
      </c>
      <c r="H998" s="128">
        <v>2008</v>
      </c>
      <c r="I998" s="128" t="s">
        <v>1922</v>
      </c>
      <c r="J998" s="128">
        <f t="shared" si="30"/>
        <v>7</v>
      </c>
      <c r="K998" s="128" t="s">
        <v>2242</v>
      </c>
      <c r="L998" s="130"/>
      <c r="M998" s="129" t="s">
        <v>31</v>
      </c>
      <c r="N998" s="129" t="s">
        <v>28</v>
      </c>
      <c r="O998" s="129" t="s">
        <v>28</v>
      </c>
      <c r="P998" s="129" t="str">
        <f t="shared" si="31"/>
        <v>N/A</v>
      </c>
      <c r="Q998" s="132" t="s">
        <v>2243</v>
      </c>
      <c r="R998" s="128">
        <v>1.77</v>
      </c>
      <c r="S998" s="128">
        <v>0</v>
      </c>
      <c r="T998" s="130" t="s">
        <v>31</v>
      </c>
      <c r="U998" s="136"/>
    </row>
    <row r="999" spans="1:21" ht="15.75" hidden="1" thickBot="1">
      <c r="A999" s="45">
        <v>1224</v>
      </c>
      <c r="B999" s="123"/>
      <c r="C999" s="123"/>
      <c r="D999" s="123"/>
      <c r="E999" s="123"/>
      <c r="F999" s="123"/>
      <c r="G999" s="127" t="s">
        <v>210</v>
      </c>
      <c r="H999" s="128">
        <v>2008</v>
      </c>
      <c r="I999" s="128" t="s">
        <v>1949</v>
      </c>
      <c r="J999" s="128">
        <f t="shared" si="30"/>
        <v>9</v>
      </c>
      <c r="K999" s="128" t="s">
        <v>2244</v>
      </c>
      <c r="L999" s="128" t="s">
        <v>30</v>
      </c>
      <c r="M999" s="129" t="s">
        <v>1013</v>
      </c>
      <c r="N999" s="129" t="s">
        <v>28</v>
      </c>
      <c r="O999" s="129" t="s">
        <v>28</v>
      </c>
      <c r="P999" s="129" t="str">
        <f t="shared" si="31"/>
        <v>N/A</v>
      </c>
      <c r="Q999" s="128" t="s">
        <v>2245</v>
      </c>
      <c r="R999" s="128">
        <v>24.21</v>
      </c>
      <c r="S999" s="128">
        <v>47.07</v>
      </c>
      <c r="T999" s="130" t="s">
        <v>1069</v>
      </c>
      <c r="U999" s="136"/>
    </row>
    <row r="1000" spans="1:21" ht="15.75" hidden="1" thickBot="1">
      <c r="A1000" s="45">
        <v>1224</v>
      </c>
      <c r="B1000" s="123"/>
      <c r="C1000" s="123"/>
      <c r="D1000" s="123"/>
      <c r="E1000" s="123"/>
      <c r="F1000" s="123"/>
      <c r="G1000" s="127" t="s">
        <v>210</v>
      </c>
      <c r="H1000" s="128">
        <v>2008</v>
      </c>
      <c r="I1000" s="128" t="s">
        <v>1949</v>
      </c>
      <c r="J1000" s="128">
        <f t="shared" si="30"/>
        <v>9</v>
      </c>
      <c r="K1000" s="128" t="s">
        <v>2246</v>
      </c>
      <c r="L1000" s="128" t="s">
        <v>30</v>
      </c>
      <c r="M1000" s="129" t="s">
        <v>1003</v>
      </c>
      <c r="N1000" s="129" t="s">
        <v>28</v>
      </c>
      <c r="O1000" s="129" t="s">
        <v>28</v>
      </c>
      <c r="P1000" s="129" t="str">
        <f t="shared" si="31"/>
        <v>N/A</v>
      </c>
      <c r="Q1000" s="128" t="s">
        <v>1004</v>
      </c>
      <c r="R1000" s="128">
        <v>1.59</v>
      </c>
      <c r="S1000" s="128">
        <v>0</v>
      </c>
      <c r="T1000" s="130"/>
      <c r="U1000" s="136"/>
    </row>
    <row r="1001" spans="1:21" ht="15.75" hidden="1" thickBot="1">
      <c r="A1001" s="45">
        <v>1224</v>
      </c>
      <c r="B1001" s="123"/>
      <c r="C1001" s="123"/>
      <c r="D1001" s="123"/>
      <c r="E1001" s="123"/>
      <c r="F1001" s="123"/>
      <c r="G1001" s="127" t="s">
        <v>210</v>
      </c>
      <c r="H1001" s="128">
        <v>2008</v>
      </c>
      <c r="I1001" s="128" t="s">
        <v>1949</v>
      </c>
      <c r="J1001" s="128">
        <f t="shared" si="30"/>
        <v>9</v>
      </c>
      <c r="K1001" s="128" t="s">
        <v>239</v>
      </c>
      <c r="L1001" s="128" t="s">
        <v>30</v>
      </c>
      <c r="M1001" s="129" t="s">
        <v>1065</v>
      </c>
      <c r="N1001" s="129" t="s">
        <v>32</v>
      </c>
      <c r="O1001" s="129" t="s">
        <v>28</v>
      </c>
      <c r="P1001" s="129" t="str">
        <f t="shared" si="31"/>
        <v>N/A</v>
      </c>
      <c r="Q1001" s="130"/>
      <c r="R1001" s="128">
        <v>28.19</v>
      </c>
      <c r="S1001" s="128">
        <v>52.93</v>
      </c>
      <c r="T1001" s="130"/>
      <c r="U1001" s="136"/>
    </row>
    <row r="1002" spans="1:21" ht="15.75" hidden="1" thickBot="1">
      <c r="A1002" s="45">
        <v>1224</v>
      </c>
      <c r="B1002" s="123"/>
      <c r="C1002" s="123"/>
      <c r="D1002" s="123"/>
      <c r="E1002" s="123"/>
      <c r="F1002" s="123"/>
      <c r="G1002" s="127" t="s">
        <v>210</v>
      </c>
      <c r="H1002" s="128">
        <v>2008</v>
      </c>
      <c r="I1002" s="128" t="s">
        <v>1949</v>
      </c>
      <c r="J1002" s="128">
        <f t="shared" si="30"/>
        <v>9</v>
      </c>
      <c r="K1002" s="128" t="s">
        <v>2247</v>
      </c>
      <c r="L1002" s="128" t="s">
        <v>30</v>
      </c>
      <c r="M1002" s="129" t="s">
        <v>1065</v>
      </c>
      <c r="N1002" s="129" t="s">
        <v>28</v>
      </c>
      <c r="O1002" s="129" t="s">
        <v>28</v>
      </c>
      <c r="P1002" s="129" t="str">
        <f t="shared" si="31"/>
        <v>N/A</v>
      </c>
      <c r="Q1002" s="128" t="s">
        <v>2248</v>
      </c>
      <c r="R1002" s="128">
        <v>14.78</v>
      </c>
      <c r="S1002" s="128">
        <v>0</v>
      </c>
      <c r="T1002" s="130" t="s">
        <v>998</v>
      </c>
      <c r="U1002" s="136"/>
    </row>
    <row r="1003" spans="1:21" ht="15.75" hidden="1" thickBot="1">
      <c r="A1003" s="45">
        <v>1224</v>
      </c>
      <c r="B1003" s="123"/>
      <c r="C1003" s="123"/>
      <c r="D1003" s="123"/>
      <c r="E1003" s="123"/>
      <c r="F1003" s="123"/>
      <c r="G1003" s="127" t="s">
        <v>210</v>
      </c>
      <c r="H1003" s="128">
        <v>2008</v>
      </c>
      <c r="I1003" s="128" t="s">
        <v>1949</v>
      </c>
      <c r="J1003" s="128">
        <f t="shared" si="30"/>
        <v>9</v>
      </c>
      <c r="K1003" s="128" t="s">
        <v>2249</v>
      </c>
      <c r="L1003" s="128" t="s">
        <v>40</v>
      </c>
      <c r="M1003" s="129" t="s">
        <v>31</v>
      </c>
      <c r="N1003" s="129" t="s">
        <v>28</v>
      </c>
      <c r="O1003" s="129" t="s">
        <v>28</v>
      </c>
      <c r="P1003" s="129" t="str">
        <f t="shared" si="31"/>
        <v>N/A</v>
      </c>
      <c r="Q1003" s="128" t="s">
        <v>2250</v>
      </c>
      <c r="R1003" s="128">
        <v>1.85</v>
      </c>
      <c r="S1003" s="128">
        <v>0</v>
      </c>
      <c r="T1003" s="130" t="s">
        <v>31</v>
      </c>
      <c r="U1003" s="136"/>
    </row>
    <row r="1004" spans="1:21" ht="15.75" hidden="1" thickBot="1">
      <c r="A1004" s="45">
        <v>1224</v>
      </c>
      <c r="B1004" s="123"/>
      <c r="C1004" s="123"/>
      <c r="D1004" s="123"/>
      <c r="E1004" s="123"/>
      <c r="F1004" s="123"/>
      <c r="G1004" s="127" t="s">
        <v>210</v>
      </c>
      <c r="H1004" s="128">
        <v>2008</v>
      </c>
      <c r="I1004" s="128" t="s">
        <v>1949</v>
      </c>
      <c r="J1004" s="128">
        <f t="shared" si="30"/>
        <v>9</v>
      </c>
      <c r="K1004" s="128" t="s">
        <v>2251</v>
      </c>
      <c r="L1004" s="128" t="s">
        <v>40</v>
      </c>
      <c r="M1004" s="129" t="s">
        <v>34</v>
      </c>
      <c r="N1004" s="129" t="s">
        <v>28</v>
      </c>
      <c r="O1004" s="129" t="s">
        <v>28</v>
      </c>
      <c r="P1004" s="129" t="str">
        <f t="shared" si="31"/>
        <v>N/A</v>
      </c>
      <c r="Q1004" s="138" t="s">
        <v>2252</v>
      </c>
      <c r="R1004" s="128">
        <v>18.100000000000001</v>
      </c>
      <c r="S1004" s="128">
        <v>0</v>
      </c>
      <c r="T1004" s="130" t="s">
        <v>1331</v>
      </c>
      <c r="U1004" s="136"/>
    </row>
    <row r="1005" spans="1:21" ht="15.75" hidden="1" thickBot="1">
      <c r="A1005" s="45">
        <v>1224</v>
      </c>
      <c r="B1005" s="123"/>
      <c r="C1005" s="123"/>
      <c r="D1005" s="123"/>
      <c r="E1005" s="123"/>
      <c r="F1005" s="123"/>
      <c r="G1005" s="127" t="s">
        <v>210</v>
      </c>
      <c r="H1005" s="128">
        <v>2008</v>
      </c>
      <c r="I1005" s="128" t="s">
        <v>1949</v>
      </c>
      <c r="J1005" s="128">
        <f t="shared" si="30"/>
        <v>9</v>
      </c>
      <c r="K1005" s="128" t="s">
        <v>2253</v>
      </c>
      <c r="L1005" s="128" t="s">
        <v>30</v>
      </c>
      <c r="M1005" s="129" t="s">
        <v>2254</v>
      </c>
      <c r="N1005" s="129" t="s">
        <v>28</v>
      </c>
      <c r="O1005" s="129" t="s">
        <v>28</v>
      </c>
      <c r="P1005" s="129" t="str">
        <f t="shared" si="31"/>
        <v>N/A</v>
      </c>
      <c r="Q1005" s="144" t="s">
        <v>2255</v>
      </c>
      <c r="R1005" s="128">
        <v>9.4700000000000006</v>
      </c>
      <c r="S1005" s="128">
        <v>0</v>
      </c>
      <c r="T1005" s="130"/>
      <c r="U1005" s="136"/>
    </row>
    <row r="1006" spans="1:21" ht="15.75" hidden="1" thickBot="1">
      <c r="A1006" s="45">
        <v>1224</v>
      </c>
      <c r="B1006" s="123"/>
      <c r="C1006" s="123"/>
      <c r="D1006" s="123"/>
      <c r="E1006" s="123"/>
      <c r="F1006" s="123"/>
      <c r="G1006" s="127" t="s">
        <v>210</v>
      </c>
      <c r="H1006" s="159">
        <v>2008</v>
      </c>
      <c r="I1006" s="159" t="s">
        <v>1949</v>
      </c>
      <c r="J1006" s="128">
        <f t="shared" si="30"/>
        <v>9</v>
      </c>
      <c r="K1006" s="159" t="s">
        <v>2256</v>
      </c>
      <c r="L1006" s="159" t="s">
        <v>40</v>
      </c>
      <c r="M1006" s="160" t="s">
        <v>201</v>
      </c>
      <c r="N1006" s="129" t="s">
        <v>28</v>
      </c>
      <c r="O1006" s="160" t="s">
        <v>28</v>
      </c>
      <c r="P1006" s="129" t="str">
        <f t="shared" si="31"/>
        <v>N/A</v>
      </c>
      <c r="Q1006" s="159" t="s">
        <v>2257</v>
      </c>
      <c r="R1006" s="159">
        <v>0.02</v>
      </c>
      <c r="S1006" s="159">
        <v>0</v>
      </c>
      <c r="T1006" s="162" t="s">
        <v>998</v>
      </c>
      <c r="U1006" s="136"/>
    </row>
    <row r="1007" spans="1:21" ht="15.75" hidden="1" thickBot="1">
      <c r="A1007" s="45">
        <v>1224</v>
      </c>
      <c r="B1007" s="123"/>
      <c r="C1007" s="123"/>
      <c r="D1007" s="123"/>
      <c r="E1007" s="123"/>
      <c r="F1007" s="123"/>
      <c r="G1007" s="127" t="s">
        <v>210</v>
      </c>
      <c r="H1007" s="128">
        <v>2008</v>
      </c>
      <c r="I1007" s="128" t="s">
        <v>1949</v>
      </c>
      <c r="J1007" s="128">
        <f t="shared" si="30"/>
        <v>9</v>
      </c>
      <c r="K1007" s="128" t="s">
        <v>1665</v>
      </c>
      <c r="L1007" s="128" t="s">
        <v>30</v>
      </c>
      <c r="M1007" s="129" t="s">
        <v>1065</v>
      </c>
      <c r="N1007" s="129" t="s">
        <v>28</v>
      </c>
      <c r="O1007" s="129" t="s">
        <v>28</v>
      </c>
      <c r="P1007" s="129" t="str">
        <f t="shared" si="31"/>
        <v>N/A</v>
      </c>
      <c r="Q1007" s="128" t="s">
        <v>2258</v>
      </c>
      <c r="R1007" s="128">
        <v>1.67</v>
      </c>
      <c r="S1007" s="128">
        <v>0</v>
      </c>
      <c r="T1007" s="130" t="s">
        <v>1376</v>
      </c>
      <c r="U1007" s="136"/>
    </row>
    <row r="1008" spans="1:21" ht="15.75" hidden="1" thickBot="1">
      <c r="A1008" s="45">
        <v>1216</v>
      </c>
      <c r="B1008" s="123"/>
      <c r="C1008" s="123"/>
      <c r="D1008" s="123"/>
      <c r="E1008" s="123"/>
      <c r="F1008" s="123"/>
      <c r="G1008" s="127" t="s">
        <v>210</v>
      </c>
      <c r="H1008" s="128">
        <v>2009</v>
      </c>
      <c r="I1008" s="128" t="s">
        <v>124</v>
      </c>
      <c r="J1008" s="128">
        <f t="shared" si="30"/>
        <v>1</v>
      </c>
      <c r="K1008" s="128" t="s">
        <v>1962</v>
      </c>
      <c r="L1008" s="128" t="s">
        <v>30</v>
      </c>
      <c r="M1008" s="129" t="s">
        <v>1065</v>
      </c>
      <c r="N1008" s="129" t="s">
        <v>32</v>
      </c>
      <c r="O1008" s="129" t="s">
        <v>32</v>
      </c>
      <c r="P1008" s="129" t="str">
        <f t="shared" si="31"/>
        <v>Y</v>
      </c>
      <c r="Q1008" s="130"/>
      <c r="R1008" s="128">
        <v>96.84</v>
      </c>
      <c r="S1008" s="130"/>
      <c r="T1008" s="130"/>
      <c r="U1008" s="136"/>
    </row>
    <row r="1009" spans="1:21" ht="15.75" thickBot="1">
      <c r="A1009" s="45">
        <v>1217</v>
      </c>
      <c r="B1009" s="123"/>
      <c r="C1009" s="123"/>
      <c r="D1009" s="123"/>
      <c r="E1009" s="123"/>
      <c r="F1009" s="123"/>
      <c r="G1009" s="127" t="s">
        <v>210</v>
      </c>
      <c r="H1009" s="128">
        <v>2009</v>
      </c>
      <c r="I1009" s="128" t="s">
        <v>230</v>
      </c>
      <c r="J1009" s="128">
        <f t="shared" si="30"/>
        <v>1</v>
      </c>
      <c r="K1009" s="128" t="s">
        <v>231</v>
      </c>
      <c r="L1009" s="128" t="s">
        <v>30</v>
      </c>
      <c r="M1009" s="129" t="s">
        <v>1065</v>
      </c>
      <c r="N1009" s="129" t="s">
        <v>32</v>
      </c>
      <c r="O1009" s="129"/>
      <c r="P1009" s="129" t="str">
        <f t="shared" si="31"/>
        <v/>
      </c>
      <c r="Q1009" s="130"/>
      <c r="R1009" s="128">
        <v>97.07</v>
      </c>
      <c r="S1009" s="130"/>
      <c r="T1009" s="130"/>
      <c r="U1009" s="136"/>
    </row>
    <row r="1010" spans="1:21" ht="15.75" hidden="1" thickBot="1">
      <c r="A1010" s="45">
        <v>1211</v>
      </c>
      <c r="B1010" s="123"/>
      <c r="C1010" s="123"/>
      <c r="D1010" s="123"/>
      <c r="E1010" s="123"/>
      <c r="F1010" s="123"/>
      <c r="G1010" s="127" t="s">
        <v>210</v>
      </c>
      <c r="H1010" s="128">
        <v>2010</v>
      </c>
      <c r="I1010" s="128" t="s">
        <v>1834</v>
      </c>
      <c r="J1010" s="128">
        <f t="shared" si="30"/>
        <v>6</v>
      </c>
      <c r="K1010" s="128" t="s">
        <v>2259</v>
      </c>
      <c r="L1010" s="128" t="s">
        <v>40</v>
      </c>
      <c r="M1010" s="129" t="s">
        <v>31</v>
      </c>
      <c r="N1010" s="129" t="s">
        <v>28</v>
      </c>
      <c r="O1010" s="129" t="s">
        <v>28</v>
      </c>
      <c r="P1010" s="129" t="str">
        <f t="shared" si="31"/>
        <v>N/A</v>
      </c>
      <c r="Q1010" s="128" t="s">
        <v>2260</v>
      </c>
      <c r="R1010" s="128">
        <v>2.2200000000000002</v>
      </c>
      <c r="S1010" s="130"/>
      <c r="T1010" s="130" t="s">
        <v>31</v>
      </c>
      <c r="U1010" s="136"/>
    </row>
    <row r="1011" spans="1:21" ht="15.75" hidden="1" thickBot="1">
      <c r="A1011" s="45">
        <v>1211</v>
      </c>
      <c r="B1011" s="123"/>
      <c r="C1011" s="123"/>
      <c r="D1011" s="123"/>
      <c r="E1011" s="123"/>
      <c r="F1011" s="123"/>
      <c r="G1011" s="127" t="s">
        <v>210</v>
      </c>
      <c r="H1011" s="128">
        <v>2010</v>
      </c>
      <c r="I1011" s="128" t="s">
        <v>1834</v>
      </c>
      <c r="J1011" s="128">
        <f t="shared" si="30"/>
        <v>6</v>
      </c>
      <c r="K1011" s="128" t="s">
        <v>2261</v>
      </c>
      <c r="L1011" s="128" t="s">
        <v>40</v>
      </c>
      <c r="M1011" s="129" t="s">
        <v>31</v>
      </c>
      <c r="N1011" s="129" t="s">
        <v>28</v>
      </c>
      <c r="O1011" s="129" t="s">
        <v>28</v>
      </c>
      <c r="P1011" s="129" t="str">
        <f t="shared" si="31"/>
        <v>N/A</v>
      </c>
      <c r="Q1011" s="128" t="s">
        <v>2262</v>
      </c>
      <c r="R1011" s="128">
        <v>41.09</v>
      </c>
      <c r="S1011" s="128">
        <v>49.43</v>
      </c>
      <c r="T1011" s="130" t="s">
        <v>31</v>
      </c>
      <c r="U1011" s="136"/>
    </row>
    <row r="1012" spans="1:21" ht="15.75" hidden="1" thickBot="1">
      <c r="A1012" s="45">
        <v>1211</v>
      </c>
      <c r="B1012" s="123"/>
      <c r="C1012" s="123"/>
      <c r="D1012" s="123"/>
      <c r="E1012" s="123"/>
      <c r="F1012" s="123"/>
      <c r="G1012" s="127" t="s">
        <v>210</v>
      </c>
      <c r="H1012" s="128">
        <v>2010</v>
      </c>
      <c r="I1012" s="128" t="s">
        <v>1834</v>
      </c>
      <c r="J1012" s="128">
        <f t="shared" si="30"/>
        <v>6</v>
      </c>
      <c r="K1012" s="128" t="s">
        <v>2263</v>
      </c>
      <c r="L1012" s="128" t="s">
        <v>40</v>
      </c>
      <c r="M1012" s="129" t="s">
        <v>31</v>
      </c>
      <c r="N1012" s="129" t="s">
        <v>28</v>
      </c>
      <c r="O1012" s="129" t="s">
        <v>28</v>
      </c>
      <c r="P1012" s="129" t="str">
        <f t="shared" si="31"/>
        <v>N/A</v>
      </c>
      <c r="Q1012" s="138" t="s">
        <v>2264</v>
      </c>
      <c r="R1012" s="128">
        <v>7.09</v>
      </c>
      <c r="S1012" s="130"/>
      <c r="T1012" s="130" t="s">
        <v>1331</v>
      </c>
      <c r="U1012" s="136"/>
    </row>
    <row r="1013" spans="1:21" ht="15.75" hidden="1" thickBot="1">
      <c r="A1013" s="45">
        <v>1211</v>
      </c>
      <c r="B1013" s="123"/>
      <c r="C1013" s="123"/>
      <c r="D1013" s="123"/>
      <c r="E1013" s="123"/>
      <c r="F1013" s="123"/>
      <c r="G1013" s="127" t="s">
        <v>210</v>
      </c>
      <c r="H1013" s="128">
        <v>2010</v>
      </c>
      <c r="I1013" s="128" t="s">
        <v>1834</v>
      </c>
      <c r="J1013" s="128">
        <f t="shared" si="30"/>
        <v>6</v>
      </c>
      <c r="K1013" s="128" t="s">
        <v>247</v>
      </c>
      <c r="L1013" s="128" t="s">
        <v>30</v>
      </c>
      <c r="M1013" s="129" t="s">
        <v>31</v>
      </c>
      <c r="N1013" s="129" t="s">
        <v>32</v>
      </c>
      <c r="O1013" s="129" t="s">
        <v>28</v>
      </c>
      <c r="P1013" s="129" t="str">
        <f t="shared" si="31"/>
        <v>N/A</v>
      </c>
      <c r="Q1013" s="130"/>
      <c r="R1013" s="128">
        <v>40.26</v>
      </c>
      <c r="S1013" s="128">
        <v>50.57</v>
      </c>
      <c r="T1013" s="130"/>
      <c r="U1013" s="136"/>
    </row>
    <row r="1014" spans="1:21" ht="64.5" hidden="1" thickBot="1">
      <c r="A1014" s="45">
        <v>1211</v>
      </c>
      <c r="B1014" s="123"/>
      <c r="C1014" s="123"/>
      <c r="D1014" s="123"/>
      <c r="E1014" s="123"/>
      <c r="F1014" s="123"/>
      <c r="G1014" s="127" t="s">
        <v>210</v>
      </c>
      <c r="H1014" s="128">
        <v>2010</v>
      </c>
      <c r="I1014" s="128" t="s">
        <v>1834</v>
      </c>
      <c r="J1014" s="128">
        <f t="shared" si="30"/>
        <v>6</v>
      </c>
      <c r="K1014" s="128" t="s">
        <v>2133</v>
      </c>
      <c r="L1014" s="128" t="s">
        <v>40</v>
      </c>
      <c r="M1014" s="129" t="s">
        <v>34</v>
      </c>
      <c r="N1014" s="129" t="s">
        <v>28</v>
      </c>
      <c r="O1014" s="129" t="s">
        <v>28</v>
      </c>
      <c r="P1014" s="129" t="str">
        <f t="shared" si="31"/>
        <v>N/A</v>
      </c>
      <c r="Q1014" s="132" t="s">
        <v>2265</v>
      </c>
      <c r="R1014" s="128">
        <v>0.66</v>
      </c>
      <c r="S1014" s="130"/>
      <c r="T1014" s="130" t="s">
        <v>2266</v>
      </c>
      <c r="U1014" s="136"/>
    </row>
    <row r="1015" spans="1:21" ht="15.75" hidden="1" thickBot="1">
      <c r="A1015" s="45">
        <v>1211</v>
      </c>
      <c r="B1015" s="123"/>
      <c r="C1015" s="123"/>
      <c r="D1015" s="123"/>
      <c r="E1015" s="123"/>
      <c r="F1015" s="123"/>
      <c r="G1015" s="127" t="s">
        <v>210</v>
      </c>
      <c r="H1015" s="128">
        <v>2010</v>
      </c>
      <c r="I1015" s="128" t="s">
        <v>1834</v>
      </c>
      <c r="J1015" s="128">
        <f t="shared" si="30"/>
        <v>6</v>
      </c>
      <c r="K1015" s="128" t="s">
        <v>2267</v>
      </c>
      <c r="L1015" s="128" t="s">
        <v>30</v>
      </c>
      <c r="M1015" s="129" t="s">
        <v>201</v>
      </c>
      <c r="N1015" s="129" t="s">
        <v>28</v>
      </c>
      <c r="O1015" s="129" t="s">
        <v>28</v>
      </c>
      <c r="P1015" s="129" t="str">
        <f t="shared" si="31"/>
        <v>N/A</v>
      </c>
      <c r="Q1015" s="128" t="s">
        <v>2268</v>
      </c>
      <c r="R1015" s="128">
        <v>8.61</v>
      </c>
      <c r="S1015" s="130"/>
      <c r="T1015" s="130" t="s">
        <v>1331</v>
      </c>
      <c r="U1015" s="136"/>
    </row>
    <row r="1016" spans="1:21" ht="15.75" hidden="1" thickBot="1">
      <c r="A1016" s="45">
        <v>1212</v>
      </c>
      <c r="B1016" s="123"/>
      <c r="C1016" s="123"/>
      <c r="D1016" s="123"/>
      <c r="E1016" s="123"/>
      <c r="F1016" s="123"/>
      <c r="G1016" s="127" t="s">
        <v>210</v>
      </c>
      <c r="H1016" s="128">
        <v>2010</v>
      </c>
      <c r="I1016" s="128" t="s">
        <v>1850</v>
      </c>
      <c r="J1016" s="128">
        <f t="shared" si="30"/>
        <v>1</v>
      </c>
      <c r="K1016" s="128" t="s">
        <v>214</v>
      </c>
      <c r="L1016" s="128" t="s">
        <v>40</v>
      </c>
      <c r="M1016" s="129" t="s">
        <v>34</v>
      </c>
      <c r="N1016" s="129" t="s">
        <v>32</v>
      </c>
      <c r="O1016" s="129" t="s">
        <v>32</v>
      </c>
      <c r="P1016" s="129" t="str">
        <f t="shared" si="31"/>
        <v>Y</v>
      </c>
      <c r="Q1016" s="132" t="s">
        <v>2269</v>
      </c>
      <c r="R1016" s="128">
        <v>98.56</v>
      </c>
      <c r="S1016" s="130"/>
      <c r="T1016" s="130" t="s">
        <v>998</v>
      </c>
      <c r="U1016" s="136"/>
    </row>
    <row r="1017" spans="1:21" ht="15.75" hidden="1" thickBot="1">
      <c r="A1017" s="45">
        <v>1213</v>
      </c>
      <c r="B1017" s="123"/>
      <c r="C1017" s="123"/>
      <c r="D1017" s="123"/>
      <c r="E1017" s="123"/>
      <c r="F1017" s="123"/>
      <c r="G1017" s="127" t="s">
        <v>210</v>
      </c>
      <c r="H1017" s="128">
        <v>2010</v>
      </c>
      <c r="I1017" s="128" t="s">
        <v>1878</v>
      </c>
      <c r="J1017" s="128">
        <f t="shared" si="30"/>
        <v>14</v>
      </c>
      <c r="K1017" s="128" t="s">
        <v>2270</v>
      </c>
      <c r="L1017" s="128" t="s">
        <v>30</v>
      </c>
      <c r="M1017" s="129" t="s">
        <v>31</v>
      </c>
      <c r="N1017" s="129" t="s">
        <v>28</v>
      </c>
      <c r="O1017" s="129" t="s">
        <v>28</v>
      </c>
      <c r="P1017" s="129" t="str">
        <f t="shared" si="31"/>
        <v>N/A</v>
      </c>
      <c r="Q1017" s="138" t="s">
        <v>2271</v>
      </c>
      <c r="R1017" s="128">
        <v>2.84</v>
      </c>
      <c r="S1017" s="130"/>
      <c r="T1017" s="130" t="s">
        <v>31</v>
      </c>
      <c r="U1017" s="136"/>
    </row>
    <row r="1018" spans="1:21" ht="15.75" hidden="1" thickBot="1">
      <c r="A1018" s="45">
        <v>1213</v>
      </c>
      <c r="B1018" s="123"/>
      <c r="C1018" s="123"/>
      <c r="D1018" s="123"/>
      <c r="E1018" s="123"/>
      <c r="F1018" s="123"/>
      <c r="G1018" s="127" t="s">
        <v>210</v>
      </c>
      <c r="H1018" s="128">
        <v>2010</v>
      </c>
      <c r="I1018" s="128" t="s">
        <v>1878</v>
      </c>
      <c r="J1018" s="128">
        <f t="shared" si="30"/>
        <v>14</v>
      </c>
      <c r="K1018" s="128" t="s">
        <v>2272</v>
      </c>
      <c r="L1018" s="128" t="s">
        <v>40</v>
      </c>
      <c r="M1018" s="129" t="s">
        <v>31</v>
      </c>
      <c r="N1018" s="129" t="s">
        <v>28</v>
      </c>
      <c r="O1018" s="129" t="s">
        <v>28</v>
      </c>
      <c r="P1018" s="129" t="str">
        <f t="shared" si="31"/>
        <v>N/A</v>
      </c>
      <c r="Q1018" s="138" t="s">
        <v>2273</v>
      </c>
      <c r="R1018" s="128">
        <v>26.93</v>
      </c>
      <c r="S1018" s="128">
        <v>45.92</v>
      </c>
      <c r="T1018" s="130" t="s">
        <v>31</v>
      </c>
      <c r="U1018" s="136"/>
    </row>
    <row r="1019" spans="1:21" ht="15.75" hidden="1" thickBot="1">
      <c r="A1019" s="45">
        <v>1213</v>
      </c>
      <c r="B1019" s="123"/>
      <c r="C1019" s="123"/>
      <c r="D1019" s="123"/>
      <c r="E1019" s="123"/>
      <c r="F1019" s="123"/>
      <c r="G1019" s="127" t="s">
        <v>210</v>
      </c>
      <c r="H1019" s="128">
        <v>2010</v>
      </c>
      <c r="I1019" s="128" t="s">
        <v>1878</v>
      </c>
      <c r="J1019" s="128">
        <f t="shared" si="30"/>
        <v>14</v>
      </c>
      <c r="K1019" s="128" t="s">
        <v>2274</v>
      </c>
      <c r="L1019" s="128" t="s">
        <v>40</v>
      </c>
      <c r="M1019" s="129" t="s">
        <v>1065</v>
      </c>
      <c r="N1019" s="129" t="s">
        <v>28</v>
      </c>
      <c r="O1019" s="129" t="s">
        <v>28</v>
      </c>
      <c r="P1019" s="129" t="str">
        <f t="shared" si="31"/>
        <v>N/A</v>
      </c>
      <c r="Q1019" s="128" t="s">
        <v>2275</v>
      </c>
      <c r="R1019" s="128">
        <v>3.02</v>
      </c>
      <c r="S1019" s="130"/>
      <c r="T1019" s="130" t="s">
        <v>1015</v>
      </c>
      <c r="U1019" s="136"/>
    </row>
    <row r="1020" spans="1:21" ht="15.75" hidden="1" thickBot="1">
      <c r="A1020" s="45">
        <v>1213</v>
      </c>
      <c r="B1020" s="123"/>
      <c r="C1020" s="123"/>
      <c r="D1020" s="123"/>
      <c r="E1020" s="123"/>
      <c r="F1020" s="123"/>
      <c r="G1020" s="127" t="s">
        <v>210</v>
      </c>
      <c r="H1020" s="128">
        <v>2010</v>
      </c>
      <c r="I1020" s="128" t="s">
        <v>1878</v>
      </c>
      <c r="J1020" s="128">
        <f t="shared" si="30"/>
        <v>14</v>
      </c>
      <c r="K1020" s="128" t="s">
        <v>2276</v>
      </c>
      <c r="L1020" s="128" t="s">
        <v>30</v>
      </c>
      <c r="M1020" s="129" t="s">
        <v>201</v>
      </c>
      <c r="N1020" s="129" t="s">
        <v>28</v>
      </c>
      <c r="O1020" s="129" t="s">
        <v>28</v>
      </c>
      <c r="P1020" s="129" t="str">
        <f t="shared" si="31"/>
        <v>N/A</v>
      </c>
      <c r="Q1020" s="138" t="s">
        <v>2277</v>
      </c>
      <c r="R1020" s="128">
        <v>0.71</v>
      </c>
      <c r="S1020" s="130"/>
      <c r="T1020" s="130" t="s">
        <v>1331</v>
      </c>
      <c r="U1020" s="136"/>
    </row>
    <row r="1021" spans="1:21" ht="15.75" hidden="1" thickBot="1">
      <c r="A1021" s="45">
        <v>1213</v>
      </c>
      <c r="B1021" s="123"/>
      <c r="C1021" s="123"/>
      <c r="D1021" s="123"/>
      <c r="E1021" s="123"/>
      <c r="F1021" s="123"/>
      <c r="G1021" s="127" t="s">
        <v>210</v>
      </c>
      <c r="H1021" s="128">
        <v>2010</v>
      </c>
      <c r="I1021" s="128" t="s">
        <v>1878</v>
      </c>
      <c r="J1021" s="128">
        <f t="shared" si="30"/>
        <v>14</v>
      </c>
      <c r="K1021" s="128" t="s">
        <v>2177</v>
      </c>
      <c r="L1021" s="128" t="s">
        <v>30</v>
      </c>
      <c r="M1021" s="129" t="s">
        <v>31</v>
      </c>
      <c r="N1021" s="129" t="s">
        <v>28</v>
      </c>
      <c r="O1021" s="129" t="s">
        <v>28</v>
      </c>
      <c r="P1021" s="129" t="str">
        <f t="shared" si="31"/>
        <v>N/A</v>
      </c>
      <c r="Q1021" s="128" t="s">
        <v>2278</v>
      </c>
      <c r="R1021" s="128">
        <v>0.74</v>
      </c>
      <c r="S1021" s="130"/>
      <c r="T1021" s="130" t="s">
        <v>31</v>
      </c>
      <c r="U1021" s="136"/>
    </row>
    <row r="1022" spans="1:21" ht="26.25" hidden="1" thickBot="1">
      <c r="A1022" s="45">
        <v>1213</v>
      </c>
      <c r="B1022" s="123"/>
      <c r="C1022" s="123"/>
      <c r="D1022" s="123"/>
      <c r="E1022" s="123"/>
      <c r="F1022" s="123"/>
      <c r="G1022" s="127" t="s">
        <v>210</v>
      </c>
      <c r="H1022" s="128">
        <v>2010</v>
      </c>
      <c r="I1022" s="128" t="s">
        <v>1878</v>
      </c>
      <c r="J1022" s="128">
        <f t="shared" si="30"/>
        <v>14</v>
      </c>
      <c r="K1022" s="128" t="s">
        <v>2279</v>
      </c>
      <c r="L1022" s="128" t="s">
        <v>30</v>
      </c>
      <c r="M1022" s="129" t="s">
        <v>34</v>
      </c>
      <c r="N1022" s="129" t="s">
        <v>28</v>
      </c>
      <c r="O1022" s="129" t="s">
        <v>28</v>
      </c>
      <c r="P1022" s="129" t="str">
        <f t="shared" si="31"/>
        <v>N/A</v>
      </c>
      <c r="Q1022" s="128" t="s">
        <v>2280</v>
      </c>
      <c r="R1022" s="128">
        <v>1.1399999999999999</v>
      </c>
      <c r="S1022" s="130"/>
      <c r="T1022" s="130" t="s">
        <v>1051</v>
      </c>
      <c r="U1022" s="136"/>
    </row>
    <row r="1023" spans="1:21" ht="15.75" hidden="1" thickBot="1">
      <c r="A1023" s="45">
        <v>1213</v>
      </c>
      <c r="B1023" s="123"/>
      <c r="C1023" s="123"/>
      <c r="D1023" s="123"/>
      <c r="E1023" s="123"/>
      <c r="F1023" s="123"/>
      <c r="G1023" s="127" t="s">
        <v>210</v>
      </c>
      <c r="H1023" s="128">
        <v>2010</v>
      </c>
      <c r="I1023" s="128" t="s">
        <v>1878</v>
      </c>
      <c r="J1023" s="128">
        <f t="shared" si="30"/>
        <v>14</v>
      </c>
      <c r="K1023" s="128" t="s">
        <v>2281</v>
      </c>
      <c r="L1023" s="128" t="s">
        <v>30</v>
      </c>
      <c r="M1023" s="129" t="s">
        <v>31</v>
      </c>
      <c r="N1023" s="129" t="s">
        <v>28</v>
      </c>
      <c r="O1023" s="129" t="s">
        <v>28</v>
      </c>
      <c r="P1023" s="129" t="str">
        <f t="shared" si="31"/>
        <v>N/A</v>
      </c>
      <c r="Q1023" s="128" t="s">
        <v>2282</v>
      </c>
      <c r="R1023" s="128">
        <v>3.27</v>
      </c>
      <c r="S1023" s="130"/>
      <c r="T1023" s="130" t="s">
        <v>31</v>
      </c>
      <c r="U1023" s="136"/>
    </row>
    <row r="1024" spans="1:21" ht="15.75" hidden="1" thickBot="1">
      <c r="A1024" s="45">
        <v>1213</v>
      </c>
      <c r="B1024" s="123"/>
      <c r="C1024" s="123"/>
      <c r="D1024" s="123"/>
      <c r="E1024" s="123"/>
      <c r="F1024" s="123"/>
      <c r="G1024" s="127" t="s">
        <v>210</v>
      </c>
      <c r="H1024" s="128">
        <v>2010</v>
      </c>
      <c r="I1024" s="128" t="s">
        <v>1878</v>
      </c>
      <c r="J1024" s="128">
        <f t="shared" si="30"/>
        <v>14</v>
      </c>
      <c r="K1024" s="128" t="s">
        <v>1890</v>
      </c>
      <c r="L1024" s="128" t="s">
        <v>30</v>
      </c>
      <c r="M1024" s="129" t="s">
        <v>31</v>
      </c>
      <c r="N1024" s="129" t="s">
        <v>28</v>
      </c>
      <c r="O1024" s="129" t="s">
        <v>28</v>
      </c>
      <c r="P1024" s="129" t="str">
        <f t="shared" si="31"/>
        <v>N/A</v>
      </c>
      <c r="Q1024" s="128" t="s">
        <v>1891</v>
      </c>
      <c r="R1024" s="128">
        <v>0.86</v>
      </c>
      <c r="S1024" s="130"/>
      <c r="T1024" s="130" t="s">
        <v>31</v>
      </c>
      <c r="U1024" s="136"/>
    </row>
    <row r="1025" spans="1:21" ht="51.75" hidden="1" thickBot="1">
      <c r="A1025" s="45">
        <v>1213</v>
      </c>
      <c r="B1025" s="123"/>
      <c r="C1025" s="123"/>
      <c r="D1025" s="123"/>
      <c r="E1025" s="123"/>
      <c r="F1025" s="123"/>
      <c r="G1025" s="127" t="s">
        <v>210</v>
      </c>
      <c r="H1025" s="128">
        <v>2010</v>
      </c>
      <c r="I1025" s="128" t="s">
        <v>1878</v>
      </c>
      <c r="J1025" s="128">
        <f t="shared" si="30"/>
        <v>14</v>
      </c>
      <c r="K1025" s="128" t="s">
        <v>2283</v>
      </c>
      <c r="L1025" s="128" t="s">
        <v>30</v>
      </c>
      <c r="M1025" s="129" t="s">
        <v>201</v>
      </c>
      <c r="N1025" s="129" t="s">
        <v>28</v>
      </c>
      <c r="O1025" s="129" t="s">
        <v>28</v>
      </c>
      <c r="P1025" s="129" t="str">
        <f t="shared" si="31"/>
        <v>N/A</v>
      </c>
      <c r="Q1025" s="138" t="s">
        <v>2284</v>
      </c>
      <c r="R1025" s="128">
        <v>4.5599999999999996</v>
      </c>
      <c r="S1025" s="130"/>
      <c r="T1025" s="130" t="s">
        <v>2285</v>
      </c>
      <c r="U1025" s="136"/>
    </row>
    <row r="1026" spans="1:21" ht="26.25" hidden="1" thickBot="1">
      <c r="A1026" s="45">
        <v>1213</v>
      </c>
      <c r="B1026" s="123"/>
      <c r="C1026" s="123"/>
      <c r="D1026" s="123"/>
      <c r="E1026" s="123"/>
      <c r="F1026" s="123"/>
      <c r="G1026" s="127" t="s">
        <v>210</v>
      </c>
      <c r="H1026" s="128">
        <v>2010</v>
      </c>
      <c r="I1026" s="128" t="s">
        <v>1878</v>
      </c>
      <c r="J1026" s="128">
        <f t="shared" ref="J1026:J1089" si="32">COUNTIF(A$2:A$2215, A1026)</f>
        <v>14</v>
      </c>
      <c r="K1026" s="128" t="s">
        <v>222</v>
      </c>
      <c r="L1026" s="128" t="s">
        <v>40</v>
      </c>
      <c r="M1026" s="129" t="s">
        <v>34</v>
      </c>
      <c r="N1026" s="129" t="s">
        <v>32</v>
      </c>
      <c r="O1026" s="129" t="s">
        <v>28</v>
      </c>
      <c r="P1026" s="129" t="str">
        <f t="shared" si="31"/>
        <v>N/A</v>
      </c>
      <c r="Q1026" s="132" t="s">
        <v>2286</v>
      </c>
      <c r="R1026" s="128">
        <v>31.41</v>
      </c>
      <c r="S1026" s="128">
        <v>54.08</v>
      </c>
      <c r="T1026" s="130" t="s">
        <v>1051</v>
      </c>
      <c r="U1026" s="136"/>
    </row>
    <row r="1027" spans="1:21" ht="15.75" hidden="1" thickBot="1">
      <c r="A1027" s="45">
        <v>1213</v>
      </c>
      <c r="B1027" s="123"/>
      <c r="C1027" s="123"/>
      <c r="D1027" s="123"/>
      <c r="E1027" s="123"/>
      <c r="F1027" s="123"/>
      <c r="G1027" s="127" t="s">
        <v>210</v>
      </c>
      <c r="H1027" s="128">
        <v>2010</v>
      </c>
      <c r="I1027" s="128" t="s">
        <v>1878</v>
      </c>
      <c r="J1027" s="128">
        <f t="shared" si="32"/>
        <v>14</v>
      </c>
      <c r="K1027" s="128" t="s">
        <v>2287</v>
      </c>
      <c r="L1027" s="128" t="s">
        <v>30</v>
      </c>
      <c r="M1027" s="129" t="s">
        <v>31</v>
      </c>
      <c r="N1027" s="129" t="s">
        <v>28</v>
      </c>
      <c r="O1027" s="129" t="s">
        <v>28</v>
      </c>
      <c r="P1027" s="129" t="str">
        <f t="shared" ref="P1027:P1090" si="33">IF(O1027="N", "N/A", IF(AND(N1027="N",  O1027="Y"), "N", IF(AND(O1027="Y", N1027="Y"), "Y", "")))</f>
        <v>N/A</v>
      </c>
      <c r="Q1027" s="128" t="s">
        <v>2288</v>
      </c>
      <c r="R1027" s="128">
        <v>1.93</v>
      </c>
      <c r="S1027" s="130"/>
      <c r="T1027" s="130" t="s">
        <v>31</v>
      </c>
      <c r="U1027" s="136"/>
    </row>
    <row r="1028" spans="1:21" ht="15.75" hidden="1" thickBot="1">
      <c r="A1028" s="45">
        <v>1213</v>
      </c>
      <c r="B1028" s="123"/>
      <c r="C1028" s="123"/>
      <c r="D1028" s="123"/>
      <c r="E1028" s="123"/>
      <c r="F1028" s="123"/>
      <c r="G1028" s="127" t="s">
        <v>210</v>
      </c>
      <c r="H1028" s="128">
        <v>2010</v>
      </c>
      <c r="I1028" s="128" t="s">
        <v>1878</v>
      </c>
      <c r="J1028" s="128">
        <f t="shared" si="32"/>
        <v>14</v>
      </c>
      <c r="K1028" s="128" t="s">
        <v>2289</v>
      </c>
      <c r="L1028" s="128" t="s">
        <v>30</v>
      </c>
      <c r="M1028" s="129" t="s">
        <v>1003</v>
      </c>
      <c r="N1028" s="129" t="s">
        <v>28</v>
      </c>
      <c r="O1028" s="129" t="s">
        <v>28</v>
      </c>
      <c r="P1028" s="129" t="str">
        <f t="shared" si="33"/>
        <v>N/A</v>
      </c>
      <c r="Q1028" s="163" t="s">
        <v>2290</v>
      </c>
      <c r="R1028" s="128">
        <v>0.88</v>
      </c>
      <c r="S1028" s="130"/>
      <c r="T1028" s="130"/>
      <c r="U1028" s="152"/>
    </row>
    <row r="1029" spans="1:21" ht="15.75" hidden="1" thickBot="1">
      <c r="A1029" s="45">
        <v>1213</v>
      </c>
      <c r="B1029" s="123"/>
      <c r="C1029" s="123"/>
      <c r="D1029" s="123"/>
      <c r="E1029" s="123"/>
      <c r="F1029" s="123"/>
      <c r="G1029" s="127" t="s">
        <v>210</v>
      </c>
      <c r="H1029" s="128">
        <v>2010</v>
      </c>
      <c r="I1029" s="128" t="s">
        <v>1878</v>
      </c>
      <c r="J1029" s="128">
        <f t="shared" si="32"/>
        <v>14</v>
      </c>
      <c r="K1029" s="128" t="s">
        <v>2149</v>
      </c>
      <c r="L1029" s="128" t="s">
        <v>30</v>
      </c>
      <c r="M1029" s="129" t="s">
        <v>31</v>
      </c>
      <c r="N1029" s="129" t="s">
        <v>28</v>
      </c>
      <c r="O1029" s="129" t="s">
        <v>28</v>
      </c>
      <c r="P1029" s="129" t="str">
        <f t="shared" si="33"/>
        <v>N/A</v>
      </c>
      <c r="Q1029" s="128" t="s">
        <v>2291</v>
      </c>
      <c r="R1029" s="128">
        <v>4.5</v>
      </c>
      <c r="S1029" s="130"/>
      <c r="T1029" s="130" t="s">
        <v>31</v>
      </c>
      <c r="U1029" s="152"/>
    </row>
    <row r="1030" spans="1:21" ht="15.75" hidden="1" thickBot="1">
      <c r="A1030" s="45">
        <v>1213</v>
      </c>
      <c r="B1030" s="123"/>
      <c r="C1030" s="123"/>
      <c r="D1030" s="123"/>
      <c r="E1030" s="123"/>
      <c r="F1030" s="123"/>
      <c r="G1030" s="127" t="s">
        <v>210</v>
      </c>
      <c r="H1030" s="128">
        <v>2010</v>
      </c>
      <c r="I1030" s="128" t="s">
        <v>1878</v>
      </c>
      <c r="J1030" s="128">
        <f t="shared" si="32"/>
        <v>14</v>
      </c>
      <c r="K1030" s="128" t="s">
        <v>2292</v>
      </c>
      <c r="L1030" s="128" t="s">
        <v>40</v>
      </c>
      <c r="M1030" s="129" t="s">
        <v>31</v>
      </c>
      <c r="N1030" s="129" t="s">
        <v>28</v>
      </c>
      <c r="O1030" s="129" t="s">
        <v>28</v>
      </c>
      <c r="P1030" s="129" t="str">
        <f t="shared" si="33"/>
        <v>N/A</v>
      </c>
      <c r="Q1030" s="128" t="s">
        <v>2293</v>
      </c>
      <c r="R1030" s="128">
        <v>17.079999999999998</v>
      </c>
      <c r="S1030" s="130"/>
      <c r="T1030" s="130" t="s">
        <v>31</v>
      </c>
      <c r="U1030" s="152"/>
    </row>
    <row r="1031" spans="1:21" ht="15.75" hidden="1" thickBot="1">
      <c r="A1031" s="45">
        <v>1214</v>
      </c>
      <c r="B1031" s="123"/>
      <c r="C1031" s="123"/>
      <c r="D1031" s="123"/>
      <c r="E1031" s="123"/>
      <c r="F1031" s="123"/>
      <c r="G1031" s="127" t="s">
        <v>210</v>
      </c>
      <c r="H1031" s="128">
        <v>2010</v>
      </c>
      <c r="I1031" s="128" t="s">
        <v>1913</v>
      </c>
      <c r="J1031" s="128">
        <f t="shared" si="32"/>
        <v>4</v>
      </c>
      <c r="K1031" s="128" t="s">
        <v>2294</v>
      </c>
      <c r="L1031" s="128" t="s">
        <v>30</v>
      </c>
      <c r="M1031" s="129" t="s">
        <v>31</v>
      </c>
      <c r="N1031" s="129" t="s">
        <v>28</v>
      </c>
      <c r="O1031" s="129" t="s">
        <v>28</v>
      </c>
      <c r="P1031" s="129" t="str">
        <f t="shared" si="33"/>
        <v>N/A</v>
      </c>
      <c r="Q1031" s="128" t="s">
        <v>2295</v>
      </c>
      <c r="R1031" s="128">
        <v>5.13</v>
      </c>
      <c r="S1031" s="130"/>
      <c r="T1031" s="130" t="s">
        <v>31</v>
      </c>
      <c r="U1031" s="152"/>
    </row>
    <row r="1032" spans="1:21" ht="15.75" hidden="1" thickBot="1">
      <c r="A1032" s="45">
        <v>1214</v>
      </c>
      <c r="B1032" s="123"/>
      <c r="C1032" s="123"/>
      <c r="D1032" s="123"/>
      <c r="E1032" s="123"/>
      <c r="F1032" s="123"/>
      <c r="G1032" s="127" t="s">
        <v>210</v>
      </c>
      <c r="H1032" s="128">
        <v>2010</v>
      </c>
      <c r="I1032" s="128" t="s">
        <v>1913</v>
      </c>
      <c r="J1032" s="128">
        <f t="shared" si="32"/>
        <v>4</v>
      </c>
      <c r="K1032" s="128" t="s">
        <v>2296</v>
      </c>
      <c r="L1032" s="128" t="s">
        <v>30</v>
      </c>
      <c r="M1032" s="129" t="s">
        <v>31</v>
      </c>
      <c r="N1032" s="129" t="s">
        <v>28</v>
      </c>
      <c r="O1032" s="129" t="s">
        <v>28</v>
      </c>
      <c r="P1032" s="129" t="str">
        <f t="shared" si="33"/>
        <v>N/A</v>
      </c>
      <c r="Q1032" s="132" t="s">
        <v>2297</v>
      </c>
      <c r="R1032" s="128">
        <v>35.58</v>
      </c>
      <c r="S1032" s="128">
        <v>44.61</v>
      </c>
      <c r="T1032" s="130" t="s">
        <v>31</v>
      </c>
      <c r="U1032" s="152"/>
    </row>
    <row r="1033" spans="1:21" ht="15.75" hidden="1" thickBot="1">
      <c r="A1033" s="45">
        <v>1214</v>
      </c>
      <c r="B1033" s="123"/>
      <c r="C1033" s="123"/>
      <c r="D1033" s="123"/>
      <c r="E1033" s="123"/>
      <c r="F1033" s="123"/>
      <c r="G1033" s="127" t="s">
        <v>210</v>
      </c>
      <c r="H1033" s="128">
        <v>2010</v>
      </c>
      <c r="I1033" s="128" t="s">
        <v>1913</v>
      </c>
      <c r="J1033" s="128">
        <f t="shared" si="32"/>
        <v>4</v>
      </c>
      <c r="K1033" s="128" t="s">
        <v>2298</v>
      </c>
      <c r="L1033" s="128" t="s">
        <v>40</v>
      </c>
      <c r="M1033" s="129" t="s">
        <v>31</v>
      </c>
      <c r="N1033" s="129" t="s">
        <v>28</v>
      </c>
      <c r="O1033" s="129" t="s">
        <v>28</v>
      </c>
      <c r="P1033" s="129" t="str">
        <f t="shared" si="33"/>
        <v>N/A</v>
      </c>
      <c r="Q1033" s="128" t="s">
        <v>2299</v>
      </c>
      <c r="R1033" s="128">
        <v>16.79</v>
      </c>
      <c r="S1033" s="130"/>
      <c r="T1033" s="130" t="s">
        <v>31</v>
      </c>
      <c r="U1033" s="152"/>
    </row>
    <row r="1034" spans="1:21" ht="15.75" hidden="1" thickBot="1">
      <c r="A1034" s="45">
        <v>1214</v>
      </c>
      <c r="B1034" s="123"/>
      <c r="C1034" s="123"/>
      <c r="D1034" s="123"/>
      <c r="E1034" s="123"/>
      <c r="F1034" s="123"/>
      <c r="G1034" s="127" t="s">
        <v>210</v>
      </c>
      <c r="H1034" s="128">
        <v>2010</v>
      </c>
      <c r="I1034" s="128" t="s">
        <v>1913</v>
      </c>
      <c r="J1034" s="128">
        <f t="shared" si="32"/>
        <v>4</v>
      </c>
      <c r="K1034" s="128" t="s">
        <v>223</v>
      </c>
      <c r="L1034" s="128" t="s">
        <v>30</v>
      </c>
      <c r="M1034" s="129" t="s">
        <v>31</v>
      </c>
      <c r="N1034" s="129" t="s">
        <v>32</v>
      </c>
      <c r="O1034" s="129" t="s">
        <v>28</v>
      </c>
      <c r="P1034" s="129" t="str">
        <f t="shared" si="33"/>
        <v>N/A</v>
      </c>
      <c r="Q1034" s="130"/>
      <c r="R1034" s="128">
        <v>42.41</v>
      </c>
      <c r="S1034" s="128">
        <v>55.39</v>
      </c>
      <c r="T1034" s="130"/>
      <c r="U1034" s="152"/>
    </row>
    <row r="1035" spans="1:21" ht="15.75" hidden="1" thickBot="1">
      <c r="A1035" s="45">
        <v>1215</v>
      </c>
      <c r="B1035" s="123"/>
      <c r="C1035" s="123"/>
      <c r="D1035" s="123"/>
      <c r="E1035" s="123"/>
      <c r="F1035" s="123"/>
      <c r="G1035" s="127" t="s">
        <v>210</v>
      </c>
      <c r="H1035" s="128">
        <v>2010</v>
      </c>
      <c r="I1035" s="128" t="s">
        <v>1926</v>
      </c>
      <c r="J1035" s="128">
        <f t="shared" si="32"/>
        <v>21</v>
      </c>
      <c r="K1035" s="128" t="s">
        <v>2300</v>
      </c>
      <c r="L1035" s="157" t="s">
        <v>1672</v>
      </c>
      <c r="M1035" s="129" t="s">
        <v>31</v>
      </c>
      <c r="N1035" s="129" t="s">
        <v>28</v>
      </c>
      <c r="O1035" s="129" t="s">
        <v>28</v>
      </c>
      <c r="P1035" s="129" t="str">
        <f t="shared" si="33"/>
        <v>N/A</v>
      </c>
      <c r="Q1035" s="157" t="s">
        <v>1004</v>
      </c>
      <c r="R1035" s="128">
        <v>1.46</v>
      </c>
      <c r="S1035" s="130"/>
      <c r="T1035" s="130"/>
      <c r="U1035" s="152"/>
    </row>
    <row r="1036" spans="1:21" ht="15.75" hidden="1" thickBot="1">
      <c r="A1036" s="45">
        <v>1215</v>
      </c>
      <c r="B1036" s="123"/>
      <c r="C1036" s="123"/>
      <c r="D1036" s="123"/>
      <c r="E1036" s="123"/>
      <c r="F1036" s="123"/>
      <c r="G1036" s="127" t="s">
        <v>210</v>
      </c>
      <c r="H1036" s="128">
        <v>2010</v>
      </c>
      <c r="I1036" s="128" t="s">
        <v>1926</v>
      </c>
      <c r="J1036" s="128">
        <f t="shared" si="32"/>
        <v>21</v>
      </c>
      <c r="K1036" s="128" t="s">
        <v>2301</v>
      </c>
      <c r="L1036" s="128" t="s">
        <v>30</v>
      </c>
      <c r="M1036" s="129" t="s">
        <v>201</v>
      </c>
      <c r="N1036" s="129" t="s">
        <v>28</v>
      </c>
      <c r="O1036" s="129" t="s">
        <v>28</v>
      </c>
      <c r="P1036" s="129" t="str">
        <f t="shared" si="33"/>
        <v>N/A</v>
      </c>
      <c r="Q1036" s="128" t="s">
        <v>2302</v>
      </c>
      <c r="R1036" s="128">
        <v>6.13</v>
      </c>
      <c r="S1036" s="130"/>
      <c r="T1036" s="130" t="s">
        <v>1015</v>
      </c>
      <c r="U1036" s="152"/>
    </row>
    <row r="1037" spans="1:21" ht="64.5" hidden="1" thickBot="1">
      <c r="A1037" s="45">
        <v>1215</v>
      </c>
      <c r="B1037" s="123"/>
      <c r="C1037" s="123"/>
      <c r="D1037" s="123"/>
      <c r="E1037" s="123"/>
      <c r="F1037" s="123"/>
      <c r="G1037" s="127" t="s">
        <v>210</v>
      </c>
      <c r="H1037" s="128">
        <v>2010</v>
      </c>
      <c r="I1037" s="128" t="s">
        <v>1926</v>
      </c>
      <c r="J1037" s="128">
        <f t="shared" si="32"/>
        <v>21</v>
      </c>
      <c r="K1037" s="128" t="s">
        <v>2303</v>
      </c>
      <c r="L1037" s="128" t="s">
        <v>30</v>
      </c>
      <c r="M1037" s="129" t="s">
        <v>201</v>
      </c>
      <c r="N1037" s="129" t="s">
        <v>28</v>
      </c>
      <c r="O1037" s="129" t="s">
        <v>28</v>
      </c>
      <c r="P1037" s="129" t="str">
        <f t="shared" si="33"/>
        <v>N/A</v>
      </c>
      <c r="Q1037" s="128" t="s">
        <v>2304</v>
      </c>
      <c r="R1037" s="128">
        <v>7.18</v>
      </c>
      <c r="S1037" s="130"/>
      <c r="T1037" s="130" t="s">
        <v>2305</v>
      </c>
      <c r="U1037" s="152"/>
    </row>
    <row r="1038" spans="1:21" ht="15.75" hidden="1" thickBot="1">
      <c r="A1038" s="45">
        <v>1215</v>
      </c>
      <c r="B1038" s="123"/>
      <c r="C1038" s="123"/>
      <c r="D1038" s="123"/>
      <c r="E1038" s="123"/>
      <c r="F1038" s="123"/>
      <c r="G1038" s="127" t="s">
        <v>210</v>
      </c>
      <c r="H1038" s="128">
        <v>2010</v>
      </c>
      <c r="I1038" s="128" t="s">
        <v>1926</v>
      </c>
      <c r="J1038" s="128">
        <f t="shared" si="32"/>
        <v>21</v>
      </c>
      <c r="K1038" s="128" t="s">
        <v>2306</v>
      </c>
      <c r="L1038" s="128" t="s">
        <v>40</v>
      </c>
      <c r="M1038" s="129" t="s">
        <v>201</v>
      </c>
      <c r="N1038" s="129" t="s">
        <v>28</v>
      </c>
      <c r="O1038" s="129" t="s">
        <v>28</v>
      </c>
      <c r="P1038" s="129" t="str">
        <f t="shared" si="33"/>
        <v>N/A</v>
      </c>
      <c r="Q1038" s="128" t="s">
        <v>2307</v>
      </c>
      <c r="R1038" s="128">
        <v>2.2000000000000002</v>
      </c>
      <c r="S1038" s="130"/>
      <c r="T1038" s="130" t="s">
        <v>998</v>
      </c>
      <c r="U1038" s="152"/>
    </row>
    <row r="1039" spans="1:21" ht="15.75" hidden="1" thickBot="1">
      <c r="A1039" s="45">
        <v>1215</v>
      </c>
      <c r="B1039" s="123"/>
      <c r="C1039" s="123"/>
      <c r="D1039" s="123"/>
      <c r="E1039" s="123"/>
      <c r="F1039" s="123"/>
      <c r="G1039" s="127" t="s">
        <v>210</v>
      </c>
      <c r="H1039" s="128">
        <v>2010</v>
      </c>
      <c r="I1039" s="128" t="s">
        <v>1926</v>
      </c>
      <c r="J1039" s="128">
        <f t="shared" si="32"/>
        <v>21</v>
      </c>
      <c r="K1039" s="128" t="s">
        <v>2308</v>
      </c>
      <c r="L1039" s="128" t="s">
        <v>30</v>
      </c>
      <c r="M1039" s="129" t="s">
        <v>201</v>
      </c>
      <c r="N1039" s="129" t="s">
        <v>28</v>
      </c>
      <c r="O1039" s="129" t="s">
        <v>28</v>
      </c>
      <c r="P1039" s="129" t="str">
        <f t="shared" si="33"/>
        <v>N/A</v>
      </c>
      <c r="Q1039" s="132" t="s">
        <v>2309</v>
      </c>
      <c r="R1039" s="128">
        <v>1.1399999999999999</v>
      </c>
      <c r="S1039" s="130"/>
      <c r="T1039" s="130" t="s">
        <v>998</v>
      </c>
      <c r="U1039" s="152"/>
    </row>
    <row r="1040" spans="1:21" ht="15.75" hidden="1" thickBot="1">
      <c r="A1040" s="45">
        <v>1215</v>
      </c>
      <c r="B1040" s="123"/>
      <c r="C1040" s="123"/>
      <c r="D1040" s="123"/>
      <c r="E1040" s="123"/>
      <c r="F1040" s="123"/>
      <c r="G1040" s="127" t="s">
        <v>210</v>
      </c>
      <c r="H1040" s="128">
        <v>2010</v>
      </c>
      <c r="I1040" s="128" t="s">
        <v>1926</v>
      </c>
      <c r="J1040" s="128">
        <f t="shared" si="32"/>
        <v>21</v>
      </c>
      <c r="K1040" s="128" t="s">
        <v>2310</v>
      </c>
      <c r="L1040" s="128" t="s">
        <v>30</v>
      </c>
      <c r="M1040" s="129" t="s">
        <v>31</v>
      </c>
      <c r="N1040" s="129" t="s">
        <v>28</v>
      </c>
      <c r="O1040" s="129" t="s">
        <v>28</v>
      </c>
      <c r="P1040" s="129" t="str">
        <f t="shared" si="33"/>
        <v>N/A</v>
      </c>
      <c r="Q1040" s="157" t="s">
        <v>1004</v>
      </c>
      <c r="R1040" s="128">
        <v>0.38</v>
      </c>
      <c r="S1040" s="130"/>
      <c r="T1040" s="130"/>
      <c r="U1040" s="152"/>
    </row>
    <row r="1041" spans="1:21" ht="15.75" hidden="1" thickBot="1">
      <c r="A1041" s="45">
        <v>1215</v>
      </c>
      <c r="B1041" s="123"/>
      <c r="C1041" s="123"/>
      <c r="D1041" s="123"/>
      <c r="E1041" s="123"/>
      <c r="F1041" s="123"/>
      <c r="G1041" s="127" t="s">
        <v>210</v>
      </c>
      <c r="H1041" s="128">
        <v>2010</v>
      </c>
      <c r="I1041" s="128" t="s">
        <v>1926</v>
      </c>
      <c r="J1041" s="128">
        <f t="shared" si="32"/>
        <v>21</v>
      </c>
      <c r="K1041" s="128" t="s">
        <v>2311</v>
      </c>
      <c r="L1041" s="128" t="s">
        <v>30</v>
      </c>
      <c r="M1041" s="129" t="s">
        <v>201</v>
      </c>
      <c r="N1041" s="129" t="s">
        <v>28</v>
      </c>
      <c r="O1041" s="129" t="s">
        <v>28</v>
      </c>
      <c r="P1041" s="129" t="str">
        <f t="shared" si="33"/>
        <v>N/A</v>
      </c>
      <c r="Q1041" s="128" t="s">
        <v>2312</v>
      </c>
      <c r="R1041" s="128">
        <v>2.5299999999999998</v>
      </c>
      <c r="S1041" s="130"/>
      <c r="T1041" s="130" t="s">
        <v>998</v>
      </c>
      <c r="U1041" s="152"/>
    </row>
    <row r="1042" spans="1:21" ht="15.75" hidden="1" thickBot="1">
      <c r="A1042" s="45">
        <v>1215</v>
      </c>
      <c r="B1042" s="123"/>
      <c r="C1042" s="123"/>
      <c r="D1042" s="123"/>
      <c r="E1042" s="123"/>
      <c r="F1042" s="123"/>
      <c r="G1042" s="127" t="s">
        <v>210</v>
      </c>
      <c r="H1042" s="128">
        <v>2010</v>
      </c>
      <c r="I1042" s="128" t="s">
        <v>1926</v>
      </c>
      <c r="J1042" s="128">
        <f t="shared" si="32"/>
        <v>21</v>
      </c>
      <c r="K1042" s="128" t="s">
        <v>2313</v>
      </c>
      <c r="L1042" s="128" t="s">
        <v>40</v>
      </c>
      <c r="M1042" s="129" t="s">
        <v>201</v>
      </c>
      <c r="N1042" s="129" t="s">
        <v>28</v>
      </c>
      <c r="O1042" s="129" t="s">
        <v>28</v>
      </c>
      <c r="P1042" s="129" t="str">
        <f t="shared" si="33"/>
        <v>N/A</v>
      </c>
      <c r="Q1042" s="128" t="s">
        <v>2314</v>
      </c>
      <c r="R1042" s="128">
        <v>1.86</v>
      </c>
      <c r="S1042" s="130"/>
      <c r="T1042" s="130" t="s">
        <v>998</v>
      </c>
      <c r="U1042" s="152"/>
    </row>
    <row r="1043" spans="1:21" ht="15.75" hidden="1" thickBot="1">
      <c r="A1043" s="45">
        <v>1215</v>
      </c>
      <c r="B1043" s="123"/>
      <c r="C1043" s="123"/>
      <c r="D1043" s="123"/>
      <c r="E1043" s="123"/>
      <c r="F1043" s="123"/>
      <c r="G1043" s="127" t="s">
        <v>210</v>
      </c>
      <c r="H1043" s="128">
        <v>2010</v>
      </c>
      <c r="I1043" s="128" t="s">
        <v>1926</v>
      </c>
      <c r="J1043" s="128">
        <f t="shared" si="32"/>
        <v>21</v>
      </c>
      <c r="K1043" s="128" t="s">
        <v>2315</v>
      </c>
      <c r="L1043" s="128" t="s">
        <v>40</v>
      </c>
      <c r="M1043" s="129" t="s">
        <v>201</v>
      </c>
      <c r="N1043" s="129" t="s">
        <v>28</v>
      </c>
      <c r="O1043" s="129" t="s">
        <v>28</v>
      </c>
      <c r="P1043" s="129" t="str">
        <f t="shared" si="33"/>
        <v>N/A</v>
      </c>
      <c r="Q1043" s="128" t="s">
        <v>2316</v>
      </c>
      <c r="R1043" s="128">
        <v>1.03</v>
      </c>
      <c r="S1043" s="130"/>
      <c r="T1043" s="130" t="s">
        <v>998</v>
      </c>
      <c r="U1043" s="152"/>
    </row>
    <row r="1044" spans="1:21" ht="15.75" hidden="1" thickBot="1">
      <c r="A1044" s="45">
        <v>1215</v>
      </c>
      <c r="B1044" s="123"/>
      <c r="C1044" s="123"/>
      <c r="D1044" s="123"/>
      <c r="E1044" s="123"/>
      <c r="F1044" s="123"/>
      <c r="G1044" s="127" t="s">
        <v>210</v>
      </c>
      <c r="H1044" s="128">
        <v>2010</v>
      </c>
      <c r="I1044" s="128" t="s">
        <v>1926</v>
      </c>
      <c r="J1044" s="128">
        <f t="shared" si="32"/>
        <v>21</v>
      </c>
      <c r="K1044" s="128" t="s">
        <v>2317</v>
      </c>
      <c r="L1044" s="128" t="s">
        <v>30</v>
      </c>
      <c r="M1044" s="129" t="s">
        <v>201</v>
      </c>
      <c r="N1044" s="129" t="s">
        <v>28</v>
      </c>
      <c r="O1044" s="129" t="s">
        <v>28</v>
      </c>
      <c r="P1044" s="129" t="str">
        <f t="shared" si="33"/>
        <v>N/A</v>
      </c>
      <c r="Q1044" s="128" t="s">
        <v>2318</v>
      </c>
      <c r="R1044" s="128">
        <v>2.33</v>
      </c>
      <c r="S1044" s="130"/>
      <c r="T1044" s="130" t="s">
        <v>998</v>
      </c>
      <c r="U1044" s="152"/>
    </row>
    <row r="1045" spans="1:21" ht="15.75" hidden="1" thickBot="1">
      <c r="A1045" s="45">
        <v>1215</v>
      </c>
      <c r="B1045" s="123"/>
      <c r="C1045" s="123"/>
      <c r="D1045" s="123"/>
      <c r="E1045" s="123"/>
      <c r="F1045" s="123"/>
      <c r="G1045" s="127" t="s">
        <v>210</v>
      </c>
      <c r="H1045" s="128">
        <v>2010</v>
      </c>
      <c r="I1045" s="128" t="s">
        <v>1926</v>
      </c>
      <c r="J1045" s="128">
        <f t="shared" si="32"/>
        <v>21</v>
      </c>
      <c r="K1045" s="128" t="s">
        <v>2319</v>
      </c>
      <c r="L1045" s="128" t="s">
        <v>40</v>
      </c>
      <c r="M1045" s="129" t="s">
        <v>31</v>
      </c>
      <c r="N1045" s="129" t="s">
        <v>28</v>
      </c>
      <c r="O1045" s="129" t="s">
        <v>28</v>
      </c>
      <c r="P1045" s="129" t="str">
        <f t="shared" si="33"/>
        <v>N/A</v>
      </c>
      <c r="Q1045" s="128" t="s">
        <v>2320</v>
      </c>
      <c r="R1045" s="128">
        <v>3.07</v>
      </c>
      <c r="S1045" s="130"/>
      <c r="T1045" s="130" t="s">
        <v>31</v>
      </c>
      <c r="U1045" s="152"/>
    </row>
    <row r="1046" spans="1:21" ht="15.75" hidden="1" thickBot="1">
      <c r="A1046" s="45">
        <v>1215</v>
      </c>
      <c r="B1046" s="123"/>
      <c r="C1046" s="123"/>
      <c r="D1046" s="123"/>
      <c r="E1046" s="123"/>
      <c r="F1046" s="123"/>
      <c r="G1046" s="127" t="s">
        <v>210</v>
      </c>
      <c r="H1046" s="128">
        <v>2010</v>
      </c>
      <c r="I1046" s="128" t="s">
        <v>1926</v>
      </c>
      <c r="J1046" s="128">
        <f t="shared" si="32"/>
        <v>21</v>
      </c>
      <c r="K1046" s="128" t="s">
        <v>2321</v>
      </c>
      <c r="L1046" s="128" t="s">
        <v>40</v>
      </c>
      <c r="M1046" s="129" t="s">
        <v>201</v>
      </c>
      <c r="N1046" s="129" t="s">
        <v>28</v>
      </c>
      <c r="O1046" s="129" t="s">
        <v>28</v>
      </c>
      <c r="P1046" s="129" t="str">
        <f t="shared" si="33"/>
        <v>N/A</v>
      </c>
      <c r="Q1046" s="128" t="s">
        <v>2322</v>
      </c>
      <c r="R1046" s="128">
        <v>12.07</v>
      </c>
      <c r="S1046" s="130"/>
      <c r="T1046" s="130" t="s">
        <v>998</v>
      </c>
      <c r="U1046" s="152"/>
    </row>
    <row r="1047" spans="1:21" ht="15.75" hidden="1" thickBot="1">
      <c r="A1047" s="45">
        <v>1215</v>
      </c>
      <c r="B1047" s="123"/>
      <c r="C1047" s="123"/>
      <c r="D1047" s="123"/>
      <c r="E1047" s="123"/>
      <c r="F1047" s="123"/>
      <c r="G1047" s="127" t="s">
        <v>210</v>
      </c>
      <c r="H1047" s="128">
        <v>2010</v>
      </c>
      <c r="I1047" s="128" t="s">
        <v>1926</v>
      </c>
      <c r="J1047" s="128">
        <f t="shared" si="32"/>
        <v>21</v>
      </c>
      <c r="K1047" s="128" t="s">
        <v>2323</v>
      </c>
      <c r="L1047" s="128" t="s">
        <v>40</v>
      </c>
      <c r="M1047" s="129" t="s">
        <v>201</v>
      </c>
      <c r="N1047" s="129" t="s">
        <v>28</v>
      </c>
      <c r="O1047" s="129" t="s">
        <v>28</v>
      </c>
      <c r="P1047" s="129" t="str">
        <f t="shared" si="33"/>
        <v>N/A</v>
      </c>
      <c r="Q1047" s="128" t="s">
        <v>2324</v>
      </c>
      <c r="R1047" s="128">
        <v>0.45</v>
      </c>
      <c r="S1047" s="130"/>
      <c r="T1047" s="130" t="s">
        <v>1331</v>
      </c>
      <c r="U1047" s="152"/>
    </row>
    <row r="1048" spans="1:21" ht="15.75" hidden="1" thickBot="1">
      <c r="A1048" s="45">
        <v>1215</v>
      </c>
      <c r="B1048" s="123"/>
      <c r="C1048" s="123"/>
      <c r="D1048" s="123"/>
      <c r="E1048" s="123"/>
      <c r="F1048" s="123"/>
      <c r="G1048" s="127" t="s">
        <v>210</v>
      </c>
      <c r="H1048" s="128">
        <v>2010</v>
      </c>
      <c r="I1048" s="128" t="s">
        <v>1926</v>
      </c>
      <c r="J1048" s="128">
        <f t="shared" si="32"/>
        <v>21</v>
      </c>
      <c r="K1048" s="128" t="s">
        <v>2325</v>
      </c>
      <c r="L1048" s="128" t="s">
        <v>40</v>
      </c>
      <c r="M1048" s="129" t="s">
        <v>34</v>
      </c>
      <c r="N1048" s="129" t="s">
        <v>28</v>
      </c>
      <c r="O1048" s="129" t="s">
        <v>28</v>
      </c>
      <c r="P1048" s="129" t="str">
        <f t="shared" si="33"/>
        <v>N/A</v>
      </c>
      <c r="Q1048" s="130"/>
      <c r="R1048" s="128">
        <v>11.51</v>
      </c>
      <c r="S1048" s="130"/>
      <c r="T1048" s="130"/>
      <c r="U1048" s="152"/>
    </row>
    <row r="1049" spans="1:21" ht="64.5" hidden="1" thickBot="1">
      <c r="A1049" s="45">
        <v>1215</v>
      </c>
      <c r="B1049" s="123"/>
      <c r="C1049" s="123"/>
      <c r="D1049" s="123"/>
      <c r="E1049" s="123"/>
      <c r="F1049" s="123"/>
      <c r="G1049" s="127" t="s">
        <v>210</v>
      </c>
      <c r="H1049" s="128">
        <v>2010</v>
      </c>
      <c r="I1049" s="128" t="s">
        <v>1926</v>
      </c>
      <c r="J1049" s="128">
        <f t="shared" si="32"/>
        <v>21</v>
      </c>
      <c r="K1049" s="128" t="s">
        <v>2326</v>
      </c>
      <c r="L1049" s="128" t="s">
        <v>40</v>
      </c>
      <c r="M1049" s="129" t="s">
        <v>201</v>
      </c>
      <c r="N1049" s="129" t="s">
        <v>28</v>
      </c>
      <c r="O1049" s="129" t="s">
        <v>28</v>
      </c>
      <c r="P1049" s="129" t="str">
        <f t="shared" si="33"/>
        <v>N/A</v>
      </c>
      <c r="Q1049" s="128" t="s">
        <v>2327</v>
      </c>
      <c r="R1049" s="128">
        <v>0.76</v>
      </c>
      <c r="S1049" s="130"/>
      <c r="T1049" s="130" t="s">
        <v>2328</v>
      </c>
      <c r="U1049" s="152"/>
    </row>
    <row r="1050" spans="1:21" ht="64.5" hidden="1" thickBot="1">
      <c r="A1050" s="45">
        <v>1215</v>
      </c>
      <c r="B1050" s="123"/>
      <c r="C1050" s="123"/>
      <c r="D1050" s="123"/>
      <c r="E1050" s="123"/>
      <c r="F1050" s="123"/>
      <c r="G1050" s="127" t="s">
        <v>210</v>
      </c>
      <c r="H1050" s="128">
        <v>2010</v>
      </c>
      <c r="I1050" s="128" t="s">
        <v>1926</v>
      </c>
      <c r="J1050" s="128">
        <f t="shared" si="32"/>
        <v>21</v>
      </c>
      <c r="K1050" s="128" t="s">
        <v>2167</v>
      </c>
      <c r="L1050" s="128" t="s">
        <v>30</v>
      </c>
      <c r="M1050" s="129" t="s">
        <v>201</v>
      </c>
      <c r="N1050" s="129" t="s">
        <v>28</v>
      </c>
      <c r="O1050" s="129" t="s">
        <v>28</v>
      </c>
      <c r="P1050" s="129" t="str">
        <f t="shared" si="33"/>
        <v>N/A</v>
      </c>
      <c r="Q1050" s="128" t="s">
        <v>2329</v>
      </c>
      <c r="R1050" s="128">
        <v>1.33</v>
      </c>
      <c r="S1050" s="130"/>
      <c r="T1050" s="130" t="s">
        <v>2330</v>
      </c>
      <c r="U1050" s="152"/>
    </row>
    <row r="1051" spans="1:21" ht="15.75" hidden="1" thickBot="1">
      <c r="A1051" s="45">
        <v>1215</v>
      </c>
      <c r="B1051" s="123"/>
      <c r="C1051" s="123"/>
      <c r="D1051" s="123"/>
      <c r="E1051" s="123"/>
      <c r="F1051" s="123"/>
      <c r="G1051" s="127" t="s">
        <v>210</v>
      </c>
      <c r="H1051" s="128">
        <v>2010</v>
      </c>
      <c r="I1051" s="128" t="s">
        <v>1926</v>
      </c>
      <c r="J1051" s="128">
        <f t="shared" si="32"/>
        <v>21</v>
      </c>
      <c r="K1051" s="128" t="s">
        <v>2331</v>
      </c>
      <c r="L1051" s="128" t="s">
        <v>30</v>
      </c>
      <c r="M1051" s="129" t="s">
        <v>31</v>
      </c>
      <c r="N1051" s="129" t="s">
        <v>28</v>
      </c>
      <c r="O1051" s="129" t="s">
        <v>28</v>
      </c>
      <c r="P1051" s="129" t="str">
        <f t="shared" si="33"/>
        <v>N/A</v>
      </c>
      <c r="Q1051" s="157" t="s">
        <v>1004</v>
      </c>
      <c r="R1051" s="128">
        <v>1.75</v>
      </c>
      <c r="S1051" s="130"/>
      <c r="T1051" s="130"/>
      <c r="U1051" s="152"/>
    </row>
    <row r="1052" spans="1:21" ht="15.75" hidden="1" thickBot="1">
      <c r="A1052" s="45">
        <v>1215</v>
      </c>
      <c r="B1052" s="123"/>
      <c r="C1052" s="123"/>
      <c r="D1052" s="123"/>
      <c r="E1052" s="123"/>
      <c r="F1052" s="123"/>
      <c r="G1052" s="127" t="s">
        <v>210</v>
      </c>
      <c r="H1052" s="128">
        <v>2010</v>
      </c>
      <c r="I1052" s="128" t="s">
        <v>1926</v>
      </c>
      <c r="J1052" s="128">
        <f t="shared" si="32"/>
        <v>21</v>
      </c>
      <c r="K1052" s="128" t="s">
        <v>2332</v>
      </c>
      <c r="L1052" s="128" t="s">
        <v>30</v>
      </c>
      <c r="M1052" s="129" t="s">
        <v>31</v>
      </c>
      <c r="N1052" s="129" t="s">
        <v>28</v>
      </c>
      <c r="O1052" s="129" t="s">
        <v>28</v>
      </c>
      <c r="P1052" s="129" t="str">
        <f t="shared" si="33"/>
        <v>N/A</v>
      </c>
      <c r="Q1052" s="128" t="s">
        <v>2333</v>
      </c>
      <c r="R1052" s="128">
        <v>11.06</v>
      </c>
      <c r="S1052" s="130"/>
      <c r="T1052" s="130" t="s">
        <v>31</v>
      </c>
      <c r="U1052" s="152"/>
    </row>
    <row r="1053" spans="1:21" ht="15.75" hidden="1" thickBot="1">
      <c r="A1053" s="45">
        <v>1215</v>
      </c>
      <c r="B1053" s="123"/>
      <c r="C1053" s="123"/>
      <c r="D1053" s="123"/>
      <c r="E1053" s="123"/>
      <c r="F1053" s="123"/>
      <c r="G1053" s="127" t="s">
        <v>210</v>
      </c>
      <c r="H1053" s="128">
        <v>2010</v>
      </c>
      <c r="I1053" s="128" t="s">
        <v>1926</v>
      </c>
      <c r="J1053" s="128">
        <f t="shared" si="32"/>
        <v>21</v>
      </c>
      <c r="K1053" s="128" t="s">
        <v>2334</v>
      </c>
      <c r="L1053" s="128" t="s">
        <v>40</v>
      </c>
      <c r="M1053" s="129" t="s">
        <v>31</v>
      </c>
      <c r="N1053" s="129" t="s">
        <v>28</v>
      </c>
      <c r="O1053" s="129" t="s">
        <v>28</v>
      </c>
      <c r="P1053" s="129" t="str">
        <f t="shared" si="33"/>
        <v>N/A</v>
      </c>
      <c r="Q1053" s="128" t="s">
        <v>2335</v>
      </c>
      <c r="R1053" s="128">
        <v>8.06</v>
      </c>
      <c r="S1053" s="130"/>
      <c r="T1053" s="130" t="s">
        <v>31</v>
      </c>
      <c r="U1053" s="152"/>
    </row>
    <row r="1054" spans="1:21" ht="15.75" hidden="1" thickBot="1">
      <c r="A1054" s="45">
        <v>1215</v>
      </c>
      <c r="B1054" s="123"/>
      <c r="C1054" s="123"/>
      <c r="D1054" s="123"/>
      <c r="E1054" s="123"/>
      <c r="F1054" s="123"/>
      <c r="G1054" s="127" t="s">
        <v>210</v>
      </c>
      <c r="H1054" s="128">
        <v>2010</v>
      </c>
      <c r="I1054" s="128" t="s">
        <v>1926</v>
      </c>
      <c r="J1054" s="128">
        <f t="shared" si="32"/>
        <v>21</v>
      </c>
      <c r="K1054" s="128" t="s">
        <v>2336</v>
      </c>
      <c r="L1054" s="128" t="s">
        <v>30</v>
      </c>
      <c r="M1054" s="129" t="s">
        <v>31</v>
      </c>
      <c r="N1054" s="129" t="s">
        <v>28</v>
      </c>
      <c r="O1054" s="129" t="s">
        <v>28</v>
      </c>
      <c r="P1054" s="129" t="str">
        <f t="shared" si="33"/>
        <v>N/A</v>
      </c>
      <c r="Q1054" s="130"/>
      <c r="R1054" s="128">
        <v>11.83</v>
      </c>
      <c r="S1054" s="128">
        <v>47.3</v>
      </c>
      <c r="T1054" s="130"/>
      <c r="U1054" s="152"/>
    </row>
    <row r="1055" spans="1:21" ht="15.75" hidden="1" thickBot="1">
      <c r="A1055" s="45">
        <v>1215</v>
      </c>
      <c r="B1055" s="123"/>
      <c r="C1055" s="123"/>
      <c r="D1055" s="123"/>
      <c r="E1055" s="123"/>
      <c r="F1055" s="123"/>
      <c r="G1055" s="127" t="s">
        <v>210</v>
      </c>
      <c r="H1055" s="128">
        <v>2010</v>
      </c>
      <c r="I1055" s="128" t="s">
        <v>1926</v>
      </c>
      <c r="J1055" s="128">
        <f t="shared" si="32"/>
        <v>21</v>
      </c>
      <c r="K1055" s="128" t="s">
        <v>226</v>
      </c>
      <c r="L1055" s="128" t="s">
        <v>40</v>
      </c>
      <c r="M1055" s="129" t="s">
        <v>201</v>
      </c>
      <c r="N1055" s="129" t="s">
        <v>32</v>
      </c>
      <c r="O1055" s="129" t="s">
        <v>28</v>
      </c>
      <c r="P1055" s="129" t="str">
        <f t="shared" si="33"/>
        <v>N/A</v>
      </c>
      <c r="Q1055" s="130"/>
      <c r="R1055" s="128">
        <v>11.77</v>
      </c>
      <c r="S1055" s="128">
        <v>52.7</v>
      </c>
      <c r="T1055" s="130"/>
      <c r="U1055" s="152"/>
    </row>
    <row r="1056" spans="1:21" ht="15.75" thickBot="1">
      <c r="A1056" s="45">
        <v>1206</v>
      </c>
      <c r="B1056" s="123"/>
      <c r="C1056" s="123"/>
      <c r="D1056" s="123"/>
      <c r="E1056" s="123"/>
      <c r="F1056" s="123"/>
      <c r="G1056" s="127" t="s">
        <v>210</v>
      </c>
      <c r="H1056" s="128">
        <v>2011</v>
      </c>
      <c r="I1056" s="128" t="s">
        <v>1825</v>
      </c>
      <c r="J1056" s="128">
        <f t="shared" si="32"/>
        <v>4</v>
      </c>
      <c r="K1056" s="128" t="s">
        <v>2337</v>
      </c>
      <c r="L1056" s="128" t="s">
        <v>30</v>
      </c>
      <c r="M1056" s="129" t="s">
        <v>31</v>
      </c>
      <c r="N1056" s="129" t="s">
        <v>28</v>
      </c>
      <c r="O1056" s="129"/>
      <c r="P1056" s="129" t="str">
        <f t="shared" si="33"/>
        <v/>
      </c>
      <c r="Q1056" s="128" t="s">
        <v>2338</v>
      </c>
      <c r="R1056" s="128">
        <v>28.12</v>
      </c>
      <c r="S1056" s="128">
        <v>46.46</v>
      </c>
      <c r="T1056" s="130" t="s">
        <v>31</v>
      </c>
      <c r="U1056" s="152"/>
    </row>
    <row r="1057" spans="1:21" ht="15.75" thickBot="1">
      <c r="A1057" s="45">
        <v>1206</v>
      </c>
      <c r="B1057" s="123"/>
      <c r="C1057" s="123"/>
      <c r="D1057" s="123"/>
      <c r="E1057" s="123"/>
      <c r="F1057" s="123"/>
      <c r="G1057" s="127" t="s">
        <v>210</v>
      </c>
      <c r="H1057" s="128">
        <v>2011</v>
      </c>
      <c r="I1057" s="128" t="s">
        <v>1825</v>
      </c>
      <c r="J1057" s="128">
        <f t="shared" si="32"/>
        <v>4</v>
      </c>
      <c r="K1057" s="128" t="s">
        <v>2193</v>
      </c>
      <c r="L1057" s="128" t="s">
        <v>30</v>
      </c>
      <c r="M1057" s="129" t="s">
        <v>34</v>
      </c>
      <c r="N1057" s="129" t="s">
        <v>28</v>
      </c>
      <c r="O1057" s="129"/>
      <c r="P1057" s="129" t="str">
        <f t="shared" si="33"/>
        <v/>
      </c>
      <c r="Q1057" s="128" t="s">
        <v>2339</v>
      </c>
      <c r="R1057" s="128">
        <v>6.17</v>
      </c>
      <c r="S1057" s="128">
        <v>0</v>
      </c>
      <c r="T1057" s="130" t="s">
        <v>998</v>
      </c>
      <c r="U1057" s="152"/>
    </row>
    <row r="1058" spans="1:21" ht="26.25" thickBot="1">
      <c r="A1058" s="45">
        <v>1206</v>
      </c>
      <c r="B1058" s="123"/>
      <c r="C1058" s="123"/>
      <c r="D1058" s="123"/>
      <c r="E1058" s="123"/>
      <c r="F1058" s="123"/>
      <c r="G1058" s="127" t="s">
        <v>210</v>
      </c>
      <c r="H1058" s="128">
        <v>2011</v>
      </c>
      <c r="I1058" s="128" t="s">
        <v>1825</v>
      </c>
      <c r="J1058" s="128">
        <f t="shared" si="32"/>
        <v>4</v>
      </c>
      <c r="K1058" s="128" t="s">
        <v>2340</v>
      </c>
      <c r="L1058" s="128" t="s">
        <v>30</v>
      </c>
      <c r="M1058" s="129" t="s">
        <v>34</v>
      </c>
      <c r="N1058" s="129" t="s">
        <v>28</v>
      </c>
      <c r="O1058" s="129"/>
      <c r="P1058" s="129" t="str">
        <f t="shared" si="33"/>
        <v/>
      </c>
      <c r="Q1058" s="128" t="s">
        <v>2341</v>
      </c>
      <c r="R1058" s="128">
        <v>27.15</v>
      </c>
      <c r="S1058" s="128">
        <v>0</v>
      </c>
      <c r="T1058" s="130" t="s">
        <v>2342</v>
      </c>
      <c r="U1058" s="152"/>
    </row>
    <row r="1059" spans="1:21" ht="15.75" thickBot="1">
      <c r="A1059" s="45">
        <v>1206</v>
      </c>
      <c r="B1059" s="123"/>
      <c r="C1059" s="123"/>
      <c r="D1059" s="123"/>
      <c r="E1059" s="123"/>
      <c r="F1059" s="123"/>
      <c r="G1059" s="127" t="s">
        <v>210</v>
      </c>
      <c r="H1059" s="128">
        <v>2011</v>
      </c>
      <c r="I1059" s="128" t="s">
        <v>1825</v>
      </c>
      <c r="J1059" s="128">
        <f t="shared" si="32"/>
        <v>4</v>
      </c>
      <c r="K1059" s="128" t="s">
        <v>2073</v>
      </c>
      <c r="L1059" s="128" t="s">
        <v>30</v>
      </c>
      <c r="M1059" s="129" t="s">
        <v>912</v>
      </c>
      <c r="N1059" s="129" t="s">
        <v>32</v>
      </c>
      <c r="O1059" s="129"/>
      <c r="P1059" s="129" t="str">
        <f t="shared" si="33"/>
        <v/>
      </c>
      <c r="Q1059" s="132" t="s">
        <v>2343</v>
      </c>
      <c r="R1059" s="128">
        <v>38.4</v>
      </c>
      <c r="S1059" s="128">
        <v>53.54</v>
      </c>
      <c r="T1059" s="130" t="s">
        <v>1069</v>
      </c>
      <c r="U1059" s="152"/>
    </row>
    <row r="1060" spans="1:21" ht="15.75" thickBot="1">
      <c r="A1060" s="45">
        <v>1207</v>
      </c>
      <c r="B1060" s="123"/>
      <c r="C1060" s="123"/>
      <c r="D1060" s="123"/>
      <c r="E1060" s="123"/>
      <c r="F1060" s="123"/>
      <c r="G1060" s="127" t="s">
        <v>210</v>
      </c>
      <c r="H1060" s="128">
        <v>2011</v>
      </c>
      <c r="I1060" s="128" t="s">
        <v>1748</v>
      </c>
      <c r="J1060" s="128">
        <f t="shared" si="32"/>
        <v>5</v>
      </c>
      <c r="K1060" s="128" t="s">
        <v>1751</v>
      </c>
      <c r="L1060" s="128" t="s">
        <v>30</v>
      </c>
      <c r="M1060" s="129" t="s">
        <v>1752</v>
      </c>
      <c r="N1060" s="129" t="s">
        <v>28</v>
      </c>
      <c r="O1060" s="129"/>
      <c r="P1060" s="129" t="str">
        <f t="shared" si="33"/>
        <v/>
      </c>
      <c r="Q1060" s="128" t="s">
        <v>2003</v>
      </c>
      <c r="R1060" s="128">
        <v>10.46</v>
      </c>
      <c r="S1060" s="128">
        <v>0</v>
      </c>
      <c r="T1060" s="130" t="s">
        <v>1015</v>
      </c>
      <c r="U1060" s="152"/>
    </row>
    <row r="1061" spans="1:21" ht="15.75" thickBot="1">
      <c r="A1061" s="45">
        <v>1207</v>
      </c>
      <c r="B1061" s="123"/>
      <c r="C1061" s="123"/>
      <c r="D1061" s="123"/>
      <c r="E1061" s="123"/>
      <c r="F1061" s="123"/>
      <c r="G1061" s="127" t="s">
        <v>210</v>
      </c>
      <c r="H1061" s="128">
        <v>2011</v>
      </c>
      <c r="I1061" s="128" t="s">
        <v>1748</v>
      </c>
      <c r="J1061" s="128">
        <f t="shared" si="32"/>
        <v>5</v>
      </c>
      <c r="K1061" s="128" t="s">
        <v>2344</v>
      </c>
      <c r="L1061" s="128" t="s">
        <v>30</v>
      </c>
      <c r="M1061" s="129" t="s">
        <v>31</v>
      </c>
      <c r="N1061" s="129" t="s">
        <v>28</v>
      </c>
      <c r="O1061" s="129"/>
      <c r="P1061" s="129" t="str">
        <f t="shared" si="33"/>
        <v/>
      </c>
      <c r="Q1061" s="128" t="s">
        <v>2345</v>
      </c>
      <c r="R1061" s="128">
        <v>23.64</v>
      </c>
      <c r="S1061" s="128">
        <v>37.74</v>
      </c>
      <c r="T1061" s="130" t="s">
        <v>31</v>
      </c>
      <c r="U1061" s="152"/>
    </row>
    <row r="1062" spans="1:21" ht="15.75" thickBot="1">
      <c r="A1062" s="45">
        <v>1207</v>
      </c>
      <c r="B1062" s="123"/>
      <c r="C1062" s="123"/>
      <c r="D1062" s="123"/>
      <c r="E1062" s="123"/>
      <c r="F1062" s="123"/>
      <c r="G1062" s="127" t="s">
        <v>210</v>
      </c>
      <c r="H1062" s="128">
        <v>2011</v>
      </c>
      <c r="I1062" s="128" t="s">
        <v>1748</v>
      </c>
      <c r="J1062" s="128">
        <f t="shared" si="32"/>
        <v>5</v>
      </c>
      <c r="K1062" s="128" t="s">
        <v>241</v>
      </c>
      <c r="L1062" s="128" t="s">
        <v>30</v>
      </c>
      <c r="M1062" s="129" t="s">
        <v>1065</v>
      </c>
      <c r="N1062" s="129" t="s">
        <v>32</v>
      </c>
      <c r="O1062" s="129"/>
      <c r="P1062" s="129" t="str">
        <f t="shared" si="33"/>
        <v/>
      </c>
      <c r="Q1062" s="132" t="s">
        <v>2346</v>
      </c>
      <c r="R1062" s="128">
        <v>41.5</v>
      </c>
      <c r="S1062" s="128">
        <v>62.26</v>
      </c>
      <c r="T1062" s="130" t="s">
        <v>1069</v>
      </c>
      <c r="U1062" s="152"/>
    </row>
    <row r="1063" spans="1:21" ht="15.75" thickBot="1">
      <c r="A1063" s="45">
        <v>1207</v>
      </c>
      <c r="B1063" s="123"/>
      <c r="C1063" s="123"/>
      <c r="D1063" s="123"/>
      <c r="E1063" s="123"/>
      <c r="F1063" s="123"/>
      <c r="G1063" s="127" t="s">
        <v>210</v>
      </c>
      <c r="H1063" s="128">
        <v>2011</v>
      </c>
      <c r="I1063" s="128" t="s">
        <v>1748</v>
      </c>
      <c r="J1063" s="128">
        <f t="shared" si="32"/>
        <v>5</v>
      </c>
      <c r="K1063" s="128" t="s">
        <v>2347</v>
      </c>
      <c r="L1063" s="128" t="s">
        <v>40</v>
      </c>
      <c r="M1063" s="129" t="s">
        <v>31</v>
      </c>
      <c r="N1063" s="129" t="s">
        <v>28</v>
      </c>
      <c r="O1063" s="129"/>
      <c r="P1063" s="129" t="str">
        <f t="shared" si="33"/>
        <v/>
      </c>
      <c r="Q1063" s="128" t="s">
        <v>2348</v>
      </c>
      <c r="R1063" s="128">
        <v>20.66</v>
      </c>
      <c r="S1063" s="128">
        <v>0</v>
      </c>
      <c r="T1063" s="130" t="s">
        <v>31</v>
      </c>
      <c r="U1063" s="152"/>
    </row>
    <row r="1064" spans="1:21" ht="15.75" thickBot="1">
      <c r="A1064" s="45">
        <v>1207</v>
      </c>
      <c r="B1064" s="123"/>
      <c r="C1064" s="123"/>
      <c r="D1064" s="123"/>
      <c r="E1064" s="123"/>
      <c r="F1064" s="123"/>
      <c r="G1064" s="127" t="s">
        <v>210</v>
      </c>
      <c r="H1064" s="128">
        <v>2011</v>
      </c>
      <c r="I1064" s="128" t="s">
        <v>1748</v>
      </c>
      <c r="J1064" s="128">
        <f t="shared" si="32"/>
        <v>5</v>
      </c>
      <c r="K1064" s="128" t="s">
        <v>2349</v>
      </c>
      <c r="L1064" s="128" t="s">
        <v>30</v>
      </c>
      <c r="M1064" s="129" t="s">
        <v>34</v>
      </c>
      <c r="N1064" s="129" t="s">
        <v>28</v>
      </c>
      <c r="O1064" s="129"/>
      <c r="P1064" s="129" t="str">
        <f t="shared" si="33"/>
        <v/>
      </c>
      <c r="Q1064" s="128" t="s">
        <v>2350</v>
      </c>
      <c r="R1064" s="128">
        <v>3.58</v>
      </c>
      <c r="S1064" s="128">
        <v>0</v>
      </c>
      <c r="T1064" s="130" t="s">
        <v>998</v>
      </c>
      <c r="U1064" s="152"/>
    </row>
    <row r="1065" spans="1:21" ht="15.75" hidden="1" thickBot="1">
      <c r="A1065" s="45">
        <v>1208</v>
      </c>
      <c r="B1065" s="123"/>
      <c r="C1065" s="123"/>
      <c r="D1065" s="123"/>
      <c r="E1065" s="123"/>
      <c r="F1065" s="123"/>
      <c r="G1065" s="127" t="s">
        <v>210</v>
      </c>
      <c r="H1065" s="128">
        <v>2011</v>
      </c>
      <c r="I1065" s="128" t="s">
        <v>38</v>
      </c>
      <c r="J1065" s="128">
        <f t="shared" si="32"/>
        <v>15</v>
      </c>
      <c r="K1065" s="128" t="s">
        <v>1808</v>
      </c>
      <c r="L1065" s="128" t="s">
        <v>30</v>
      </c>
      <c r="M1065" s="129" t="s">
        <v>1065</v>
      </c>
      <c r="N1065" s="129" t="s">
        <v>28</v>
      </c>
      <c r="O1065" s="129" t="s">
        <v>28</v>
      </c>
      <c r="P1065" s="129" t="str">
        <f t="shared" si="33"/>
        <v>N/A</v>
      </c>
      <c r="Q1065" s="128" t="s">
        <v>2351</v>
      </c>
      <c r="R1065" s="128">
        <v>0.27</v>
      </c>
      <c r="S1065" s="128">
        <v>0</v>
      </c>
      <c r="T1065" s="130" t="s">
        <v>2174</v>
      </c>
      <c r="U1065" s="152"/>
    </row>
    <row r="1066" spans="1:21" ht="15.75" hidden="1" thickBot="1">
      <c r="A1066" s="45">
        <v>1208</v>
      </c>
      <c r="B1066" s="123"/>
      <c r="C1066" s="123"/>
      <c r="D1066" s="123"/>
      <c r="E1066" s="123"/>
      <c r="F1066" s="123"/>
      <c r="G1066" s="127" t="s">
        <v>210</v>
      </c>
      <c r="H1066" s="128">
        <v>2011</v>
      </c>
      <c r="I1066" s="128" t="s">
        <v>38</v>
      </c>
      <c r="J1066" s="128">
        <f t="shared" si="32"/>
        <v>15</v>
      </c>
      <c r="K1066" s="128" t="s">
        <v>2352</v>
      </c>
      <c r="L1066" s="128" t="s">
        <v>30</v>
      </c>
      <c r="M1066" s="129" t="s">
        <v>31</v>
      </c>
      <c r="N1066" s="129" t="s">
        <v>28</v>
      </c>
      <c r="O1066" s="129" t="s">
        <v>28</v>
      </c>
      <c r="P1066" s="129" t="str">
        <f t="shared" si="33"/>
        <v>N/A</v>
      </c>
      <c r="Q1066" s="128" t="s">
        <v>2353</v>
      </c>
      <c r="R1066" s="128">
        <v>0.19</v>
      </c>
      <c r="S1066" s="128">
        <v>0</v>
      </c>
      <c r="T1066" s="130" t="s">
        <v>998</v>
      </c>
      <c r="U1066" s="152"/>
    </row>
    <row r="1067" spans="1:21" ht="77.25" hidden="1" thickBot="1">
      <c r="A1067" s="45">
        <v>1208</v>
      </c>
      <c r="B1067" s="123"/>
      <c r="C1067" s="123"/>
      <c r="D1067" s="123"/>
      <c r="E1067" s="123"/>
      <c r="F1067" s="123"/>
      <c r="G1067" s="127" t="s">
        <v>210</v>
      </c>
      <c r="H1067" s="128">
        <v>2011</v>
      </c>
      <c r="I1067" s="128" t="s">
        <v>38</v>
      </c>
      <c r="J1067" s="128">
        <f t="shared" si="32"/>
        <v>15</v>
      </c>
      <c r="K1067" s="128" t="s">
        <v>218</v>
      </c>
      <c r="L1067" s="128" t="s">
        <v>30</v>
      </c>
      <c r="M1067" s="129" t="s">
        <v>34</v>
      </c>
      <c r="N1067" s="129" t="s">
        <v>28</v>
      </c>
      <c r="O1067" s="129" t="s">
        <v>28</v>
      </c>
      <c r="P1067" s="129" t="str">
        <f t="shared" si="33"/>
        <v>N/A</v>
      </c>
      <c r="Q1067" s="128" t="s">
        <v>2354</v>
      </c>
      <c r="R1067" s="128">
        <v>7.5</v>
      </c>
      <c r="S1067" s="128">
        <v>0</v>
      </c>
      <c r="T1067" s="130" t="s">
        <v>2355</v>
      </c>
      <c r="U1067" s="152"/>
    </row>
    <row r="1068" spans="1:21" ht="15.75" hidden="1" thickBot="1">
      <c r="A1068" s="45">
        <v>1208</v>
      </c>
      <c r="B1068" s="123"/>
      <c r="C1068" s="123"/>
      <c r="D1068" s="123"/>
      <c r="E1068" s="123"/>
      <c r="F1068" s="123"/>
      <c r="G1068" s="127" t="s">
        <v>210</v>
      </c>
      <c r="H1068" s="128">
        <v>2011</v>
      </c>
      <c r="I1068" s="128" t="s">
        <v>38</v>
      </c>
      <c r="J1068" s="128">
        <f t="shared" si="32"/>
        <v>15</v>
      </c>
      <c r="K1068" s="128" t="s">
        <v>2356</v>
      </c>
      <c r="L1068" s="128" t="s">
        <v>40</v>
      </c>
      <c r="M1068" s="129" t="s">
        <v>31</v>
      </c>
      <c r="N1068" s="129" t="s">
        <v>28</v>
      </c>
      <c r="O1068" s="129" t="s">
        <v>28</v>
      </c>
      <c r="P1068" s="129" t="str">
        <f t="shared" si="33"/>
        <v>N/A</v>
      </c>
      <c r="Q1068" s="128" t="s">
        <v>2357</v>
      </c>
      <c r="R1068" s="128">
        <v>1.59</v>
      </c>
      <c r="S1068" s="128">
        <v>0</v>
      </c>
      <c r="T1068" s="130" t="s">
        <v>31</v>
      </c>
      <c r="U1068" s="152"/>
    </row>
    <row r="1069" spans="1:21" ht="15.75" hidden="1" thickBot="1">
      <c r="A1069" s="45">
        <v>1208</v>
      </c>
      <c r="B1069" s="123"/>
      <c r="C1069" s="123"/>
      <c r="D1069" s="123"/>
      <c r="E1069" s="123"/>
      <c r="F1069" s="123"/>
      <c r="G1069" s="127" t="s">
        <v>210</v>
      </c>
      <c r="H1069" s="128">
        <v>2011</v>
      </c>
      <c r="I1069" s="128" t="s">
        <v>38</v>
      </c>
      <c r="J1069" s="128">
        <f t="shared" si="32"/>
        <v>15</v>
      </c>
      <c r="K1069" s="128" t="s">
        <v>2358</v>
      </c>
      <c r="L1069" s="128" t="s">
        <v>30</v>
      </c>
      <c r="M1069" s="129" t="s">
        <v>31</v>
      </c>
      <c r="N1069" s="129" t="s">
        <v>28</v>
      </c>
      <c r="O1069" s="129" t="s">
        <v>28</v>
      </c>
      <c r="P1069" s="129" t="str">
        <f t="shared" si="33"/>
        <v>N/A</v>
      </c>
      <c r="Q1069" s="128" t="s">
        <v>2359</v>
      </c>
      <c r="R1069" s="128">
        <v>0.13</v>
      </c>
      <c r="S1069" s="128">
        <v>0</v>
      </c>
      <c r="T1069" s="130" t="s">
        <v>31</v>
      </c>
      <c r="U1069" s="152"/>
    </row>
    <row r="1070" spans="1:21" ht="15.75" hidden="1" thickBot="1">
      <c r="A1070" s="45">
        <v>1208</v>
      </c>
      <c r="B1070" s="123"/>
      <c r="C1070" s="123"/>
      <c r="D1070" s="123"/>
      <c r="E1070" s="123"/>
      <c r="F1070" s="123"/>
      <c r="G1070" s="127" t="s">
        <v>210</v>
      </c>
      <c r="H1070" s="128">
        <v>2011</v>
      </c>
      <c r="I1070" s="128" t="s">
        <v>38</v>
      </c>
      <c r="J1070" s="128">
        <f t="shared" si="32"/>
        <v>15</v>
      </c>
      <c r="K1070" s="128" t="s">
        <v>246</v>
      </c>
      <c r="L1070" s="128" t="s">
        <v>30</v>
      </c>
      <c r="M1070" s="129" t="s">
        <v>34</v>
      </c>
      <c r="N1070" s="129" t="s">
        <v>28</v>
      </c>
      <c r="O1070" s="129" t="s">
        <v>28</v>
      </c>
      <c r="P1070" s="129" t="str">
        <f t="shared" si="33"/>
        <v>N/A</v>
      </c>
      <c r="Q1070" s="128" t="s">
        <v>2360</v>
      </c>
      <c r="R1070" s="128">
        <v>0.52</v>
      </c>
      <c r="S1070" s="128">
        <v>0</v>
      </c>
      <c r="T1070" s="130" t="s">
        <v>998</v>
      </c>
      <c r="U1070" s="152"/>
    </row>
    <row r="1071" spans="1:21" ht="15.75" hidden="1" thickBot="1">
      <c r="A1071" s="45">
        <v>1208</v>
      </c>
      <c r="B1071" s="123"/>
      <c r="C1071" s="123"/>
      <c r="D1071" s="123"/>
      <c r="E1071" s="123"/>
      <c r="F1071" s="123"/>
      <c r="G1071" s="127" t="s">
        <v>210</v>
      </c>
      <c r="H1071" s="128">
        <v>2011</v>
      </c>
      <c r="I1071" s="128" t="s">
        <v>38</v>
      </c>
      <c r="J1071" s="128">
        <f t="shared" si="32"/>
        <v>15</v>
      </c>
      <c r="K1071" s="128" t="s">
        <v>2361</v>
      </c>
      <c r="L1071" s="128" t="s">
        <v>40</v>
      </c>
      <c r="M1071" s="129" t="s">
        <v>31</v>
      </c>
      <c r="N1071" s="129" t="s">
        <v>28</v>
      </c>
      <c r="O1071" s="129" t="s">
        <v>28</v>
      </c>
      <c r="P1071" s="129" t="str">
        <f t="shared" si="33"/>
        <v>N/A</v>
      </c>
      <c r="Q1071" s="128" t="s">
        <v>2362</v>
      </c>
      <c r="R1071" s="128">
        <v>0.86</v>
      </c>
      <c r="S1071" s="128">
        <v>0</v>
      </c>
      <c r="T1071" s="130" t="s">
        <v>31</v>
      </c>
      <c r="U1071" s="152"/>
    </row>
    <row r="1072" spans="1:21" ht="15.75" hidden="1" thickBot="1">
      <c r="A1072" s="45">
        <v>1208</v>
      </c>
      <c r="B1072" s="123"/>
      <c r="C1072" s="123"/>
      <c r="D1072" s="123"/>
      <c r="E1072" s="123"/>
      <c r="F1072" s="123"/>
      <c r="G1072" s="127" t="s">
        <v>210</v>
      </c>
      <c r="H1072" s="128">
        <v>2011</v>
      </c>
      <c r="I1072" s="128" t="s">
        <v>38</v>
      </c>
      <c r="J1072" s="128">
        <f t="shared" si="32"/>
        <v>15</v>
      </c>
      <c r="K1072" s="128" t="s">
        <v>276</v>
      </c>
      <c r="L1072" s="128" t="s">
        <v>30</v>
      </c>
      <c r="M1072" s="129" t="s">
        <v>31</v>
      </c>
      <c r="N1072" s="129" t="s">
        <v>28</v>
      </c>
      <c r="O1072" s="129" t="s">
        <v>28</v>
      </c>
      <c r="P1072" s="129" t="str">
        <f t="shared" si="33"/>
        <v>N/A</v>
      </c>
      <c r="Q1072" s="132" t="s">
        <v>1912</v>
      </c>
      <c r="R1072" s="128">
        <v>3.56</v>
      </c>
      <c r="S1072" s="128">
        <v>0</v>
      </c>
      <c r="T1072" s="130" t="s">
        <v>31</v>
      </c>
      <c r="U1072" s="152"/>
    </row>
    <row r="1073" spans="1:21" ht="15.75" hidden="1" thickBot="1">
      <c r="A1073" s="45">
        <v>1208</v>
      </c>
      <c r="B1073" s="123"/>
      <c r="C1073" s="123"/>
      <c r="D1073" s="123"/>
      <c r="E1073" s="123"/>
      <c r="F1073" s="123"/>
      <c r="G1073" s="127" t="s">
        <v>210</v>
      </c>
      <c r="H1073" s="128">
        <v>2011</v>
      </c>
      <c r="I1073" s="128" t="s">
        <v>38</v>
      </c>
      <c r="J1073" s="128">
        <f t="shared" si="32"/>
        <v>15</v>
      </c>
      <c r="K1073" s="128" t="s">
        <v>2191</v>
      </c>
      <c r="L1073" s="128" t="s">
        <v>40</v>
      </c>
      <c r="M1073" s="129" t="s">
        <v>34</v>
      </c>
      <c r="N1073" s="129" t="s">
        <v>28</v>
      </c>
      <c r="O1073" s="129" t="s">
        <v>28</v>
      </c>
      <c r="P1073" s="129" t="str">
        <f t="shared" si="33"/>
        <v>N/A</v>
      </c>
      <c r="Q1073" s="128" t="s">
        <v>2363</v>
      </c>
      <c r="R1073" s="128">
        <v>0.23</v>
      </c>
      <c r="S1073" s="128">
        <v>0</v>
      </c>
      <c r="T1073" s="130"/>
      <c r="U1073" s="152"/>
    </row>
    <row r="1074" spans="1:21" ht="15.75" hidden="1" thickBot="1">
      <c r="A1074" s="45">
        <v>1208</v>
      </c>
      <c r="B1074" s="123"/>
      <c r="C1074" s="123"/>
      <c r="D1074" s="123"/>
      <c r="E1074" s="123"/>
      <c r="F1074" s="123"/>
      <c r="G1074" s="127" t="s">
        <v>210</v>
      </c>
      <c r="H1074" s="128">
        <v>2011</v>
      </c>
      <c r="I1074" s="128" t="s">
        <v>38</v>
      </c>
      <c r="J1074" s="128">
        <f t="shared" si="32"/>
        <v>15</v>
      </c>
      <c r="K1074" s="128" t="s">
        <v>257</v>
      </c>
      <c r="L1074" s="128" t="s">
        <v>30</v>
      </c>
      <c r="M1074" s="129" t="s">
        <v>31</v>
      </c>
      <c r="N1074" s="129" t="s">
        <v>28</v>
      </c>
      <c r="O1074" s="129" t="s">
        <v>28</v>
      </c>
      <c r="P1074" s="129" t="str">
        <f t="shared" si="33"/>
        <v>N/A</v>
      </c>
      <c r="Q1074" s="132" t="s">
        <v>2364</v>
      </c>
      <c r="R1074" s="128">
        <v>4.7300000000000004</v>
      </c>
      <c r="S1074" s="128">
        <v>0</v>
      </c>
      <c r="T1074" s="130" t="s">
        <v>31</v>
      </c>
      <c r="U1074" s="152"/>
    </row>
    <row r="1075" spans="1:21" ht="15.75" hidden="1" thickBot="1">
      <c r="A1075" s="45">
        <v>1208</v>
      </c>
      <c r="B1075" s="123"/>
      <c r="C1075" s="123"/>
      <c r="D1075" s="123"/>
      <c r="E1075" s="123"/>
      <c r="F1075" s="123"/>
      <c r="G1075" s="127" t="s">
        <v>210</v>
      </c>
      <c r="H1075" s="128">
        <v>2011</v>
      </c>
      <c r="I1075" s="128" t="s">
        <v>38</v>
      </c>
      <c r="J1075" s="128">
        <f t="shared" si="32"/>
        <v>15</v>
      </c>
      <c r="K1075" s="128" t="s">
        <v>1962</v>
      </c>
      <c r="L1075" s="128" t="s">
        <v>30</v>
      </c>
      <c r="M1075" s="129" t="s">
        <v>1065</v>
      </c>
      <c r="N1075" s="129" t="s">
        <v>28</v>
      </c>
      <c r="O1075" s="129" t="s">
        <v>28</v>
      </c>
      <c r="P1075" s="129" t="str">
        <f t="shared" si="33"/>
        <v>N/A</v>
      </c>
      <c r="Q1075" s="130"/>
      <c r="R1075" s="128">
        <v>11.27</v>
      </c>
      <c r="S1075" s="128">
        <v>0</v>
      </c>
      <c r="T1075" s="130"/>
      <c r="U1075" s="152"/>
    </row>
    <row r="1076" spans="1:21" ht="15.75" hidden="1" thickBot="1">
      <c r="A1076" s="45">
        <v>1208</v>
      </c>
      <c r="B1076" s="123"/>
      <c r="C1076" s="123"/>
      <c r="D1076" s="123"/>
      <c r="E1076" s="123"/>
      <c r="F1076" s="123"/>
      <c r="G1076" s="127" t="s">
        <v>210</v>
      </c>
      <c r="H1076" s="128">
        <v>2011</v>
      </c>
      <c r="I1076" s="128" t="s">
        <v>38</v>
      </c>
      <c r="J1076" s="128">
        <f t="shared" si="32"/>
        <v>15</v>
      </c>
      <c r="K1076" s="128" t="s">
        <v>243</v>
      </c>
      <c r="L1076" s="128" t="s">
        <v>30</v>
      </c>
      <c r="M1076" s="129" t="s">
        <v>34</v>
      </c>
      <c r="N1076" s="129" t="s">
        <v>32</v>
      </c>
      <c r="O1076" s="129" t="s">
        <v>28</v>
      </c>
      <c r="P1076" s="129" t="str">
        <f t="shared" si="33"/>
        <v>N/A</v>
      </c>
      <c r="Q1076" s="132" t="s">
        <v>2365</v>
      </c>
      <c r="R1076" s="128">
        <v>30.72</v>
      </c>
      <c r="S1076" s="128">
        <v>59.64</v>
      </c>
      <c r="T1076" s="130" t="s">
        <v>998</v>
      </c>
      <c r="U1076" s="152"/>
    </row>
    <row r="1077" spans="1:21" ht="15.75" hidden="1" thickBot="1">
      <c r="A1077" s="45">
        <v>1208</v>
      </c>
      <c r="B1077" s="123"/>
      <c r="C1077" s="123"/>
      <c r="D1077" s="123"/>
      <c r="E1077" s="123"/>
      <c r="F1077" s="123"/>
      <c r="G1077" s="127" t="s">
        <v>210</v>
      </c>
      <c r="H1077" s="128">
        <v>2011</v>
      </c>
      <c r="I1077" s="128" t="s">
        <v>38</v>
      </c>
      <c r="J1077" s="128">
        <f t="shared" si="32"/>
        <v>15</v>
      </c>
      <c r="K1077" s="128" t="s">
        <v>239</v>
      </c>
      <c r="L1077" s="128" t="s">
        <v>30</v>
      </c>
      <c r="M1077" s="129" t="s">
        <v>1065</v>
      </c>
      <c r="N1077" s="129" t="s">
        <v>28</v>
      </c>
      <c r="O1077" s="129" t="s">
        <v>28</v>
      </c>
      <c r="P1077" s="129" t="str">
        <f t="shared" si="33"/>
        <v>N/A</v>
      </c>
      <c r="Q1077" s="130"/>
      <c r="R1077" s="128">
        <v>19.25</v>
      </c>
      <c r="S1077" s="128">
        <v>40.36</v>
      </c>
      <c r="T1077" s="130"/>
      <c r="U1077" s="152"/>
    </row>
    <row r="1078" spans="1:21" ht="15.75" hidden="1" thickBot="1">
      <c r="A1078" s="45">
        <v>1208</v>
      </c>
      <c r="B1078" s="123"/>
      <c r="C1078" s="123"/>
      <c r="D1078" s="123"/>
      <c r="E1078" s="123"/>
      <c r="F1078" s="123"/>
      <c r="G1078" s="127" t="s">
        <v>210</v>
      </c>
      <c r="H1078" s="128">
        <v>2011</v>
      </c>
      <c r="I1078" s="128" t="s">
        <v>38</v>
      </c>
      <c r="J1078" s="128">
        <f t="shared" si="32"/>
        <v>15</v>
      </c>
      <c r="K1078" s="128" t="s">
        <v>274</v>
      </c>
      <c r="L1078" s="128" t="s">
        <v>30</v>
      </c>
      <c r="M1078" s="129" t="s">
        <v>34</v>
      </c>
      <c r="N1078" s="129" t="s">
        <v>28</v>
      </c>
      <c r="O1078" s="129" t="s">
        <v>28</v>
      </c>
      <c r="P1078" s="129" t="str">
        <f t="shared" si="33"/>
        <v>N/A</v>
      </c>
      <c r="Q1078" s="128" t="s">
        <v>2366</v>
      </c>
      <c r="R1078" s="128">
        <v>9.2100000000000009</v>
      </c>
      <c r="S1078" s="128">
        <v>0</v>
      </c>
      <c r="T1078" s="130"/>
      <c r="U1078" s="152"/>
    </row>
    <row r="1079" spans="1:21" ht="15.75" hidden="1" thickBot="1">
      <c r="A1079" s="45">
        <v>1208</v>
      </c>
      <c r="B1079" s="123"/>
      <c r="C1079" s="123"/>
      <c r="D1079" s="123"/>
      <c r="E1079" s="123"/>
      <c r="F1079" s="123"/>
      <c r="G1079" s="127" t="s">
        <v>210</v>
      </c>
      <c r="H1079" s="128">
        <v>2011</v>
      </c>
      <c r="I1079" s="128" t="s">
        <v>38</v>
      </c>
      <c r="J1079" s="128">
        <f t="shared" si="32"/>
        <v>15</v>
      </c>
      <c r="K1079" s="128" t="s">
        <v>254</v>
      </c>
      <c r="L1079" s="128" t="s">
        <v>40</v>
      </c>
      <c r="M1079" s="129" t="s">
        <v>31</v>
      </c>
      <c r="N1079" s="129" t="s">
        <v>28</v>
      </c>
      <c r="O1079" s="129" t="s">
        <v>28</v>
      </c>
      <c r="P1079" s="129" t="str">
        <f t="shared" si="33"/>
        <v>N/A</v>
      </c>
      <c r="Q1079" s="132" t="s">
        <v>2367</v>
      </c>
      <c r="R1079" s="128">
        <v>3.41</v>
      </c>
      <c r="S1079" s="128">
        <v>0</v>
      </c>
      <c r="T1079" s="130" t="s">
        <v>31</v>
      </c>
      <c r="U1079" s="152"/>
    </row>
    <row r="1080" spans="1:21" ht="15.75" hidden="1" thickBot="1">
      <c r="A1080" s="45">
        <v>1200</v>
      </c>
      <c r="B1080" s="123"/>
      <c r="C1080" s="123"/>
      <c r="D1080" s="123"/>
      <c r="E1080" s="123"/>
      <c r="F1080" s="123"/>
      <c r="G1080" s="127" t="s">
        <v>210</v>
      </c>
      <c r="H1080" s="128">
        <v>2012</v>
      </c>
      <c r="I1080" s="128" t="s">
        <v>1826</v>
      </c>
      <c r="J1080" s="128">
        <f t="shared" si="32"/>
        <v>3</v>
      </c>
      <c r="K1080" s="128" t="s">
        <v>2368</v>
      </c>
      <c r="L1080" s="128" t="s">
        <v>30</v>
      </c>
      <c r="M1080" s="129" t="s">
        <v>34</v>
      </c>
      <c r="N1080" s="129" t="s">
        <v>28</v>
      </c>
      <c r="O1080" s="129" t="s">
        <v>28</v>
      </c>
      <c r="P1080" s="129" t="str">
        <f t="shared" si="33"/>
        <v>N/A</v>
      </c>
      <c r="Q1080" s="128" t="s">
        <v>2369</v>
      </c>
      <c r="R1080" s="128">
        <v>38.619999999999997</v>
      </c>
      <c r="S1080" s="130"/>
      <c r="T1080" s="130" t="s">
        <v>998</v>
      </c>
      <c r="U1080" s="152"/>
    </row>
    <row r="1081" spans="1:21" ht="15.75" hidden="1" thickBot="1">
      <c r="A1081" s="45">
        <v>1200</v>
      </c>
      <c r="B1081" s="123"/>
      <c r="C1081" s="123"/>
      <c r="D1081" s="123"/>
      <c r="E1081" s="123"/>
      <c r="F1081" s="123"/>
      <c r="G1081" s="127" t="s">
        <v>210</v>
      </c>
      <c r="H1081" s="128">
        <v>2012</v>
      </c>
      <c r="I1081" s="128" t="s">
        <v>1826</v>
      </c>
      <c r="J1081" s="128">
        <f t="shared" si="32"/>
        <v>3</v>
      </c>
      <c r="K1081" s="128" t="s">
        <v>2210</v>
      </c>
      <c r="L1081" s="128" t="s">
        <v>30</v>
      </c>
      <c r="M1081" s="129" t="s">
        <v>34</v>
      </c>
      <c r="N1081" s="129" t="s">
        <v>28</v>
      </c>
      <c r="O1081" s="129" t="s">
        <v>28</v>
      </c>
      <c r="P1081" s="129" t="str">
        <f t="shared" si="33"/>
        <v>N/A</v>
      </c>
      <c r="Q1081" s="128" t="s">
        <v>2370</v>
      </c>
      <c r="R1081" s="128">
        <v>7.54</v>
      </c>
      <c r="S1081" s="130"/>
      <c r="T1081" s="130" t="s">
        <v>998</v>
      </c>
      <c r="U1081" s="152"/>
    </row>
    <row r="1082" spans="1:21" ht="15.75" hidden="1" thickBot="1">
      <c r="A1082" s="45">
        <v>1200</v>
      </c>
      <c r="B1082" s="123"/>
      <c r="C1082" s="123"/>
      <c r="D1082" s="123"/>
      <c r="E1082" s="123"/>
      <c r="F1082" s="123"/>
      <c r="G1082" s="127" t="s">
        <v>210</v>
      </c>
      <c r="H1082" s="128">
        <v>2012</v>
      </c>
      <c r="I1082" s="128" t="s">
        <v>1826</v>
      </c>
      <c r="J1082" s="128">
        <f t="shared" si="32"/>
        <v>3</v>
      </c>
      <c r="K1082" s="128" t="s">
        <v>232</v>
      </c>
      <c r="L1082" s="128" t="s">
        <v>30</v>
      </c>
      <c r="M1082" s="129" t="s">
        <v>34</v>
      </c>
      <c r="N1082" s="129" t="s">
        <v>32</v>
      </c>
      <c r="O1082" s="129" t="s">
        <v>32</v>
      </c>
      <c r="P1082" s="129" t="str">
        <f t="shared" si="33"/>
        <v>Y</v>
      </c>
      <c r="Q1082" s="132" t="s">
        <v>2371</v>
      </c>
      <c r="R1082" s="128">
        <v>53.5</v>
      </c>
      <c r="S1082" s="130"/>
      <c r="T1082" s="130" t="s">
        <v>998</v>
      </c>
      <c r="U1082" s="152"/>
    </row>
    <row r="1083" spans="1:21" ht="15.75" hidden="1" thickBot="1">
      <c r="A1083" s="45">
        <v>1201</v>
      </c>
      <c r="B1083" s="123"/>
      <c r="C1083" s="123"/>
      <c r="D1083" s="123"/>
      <c r="E1083" s="123"/>
      <c r="F1083" s="123"/>
      <c r="G1083" s="127" t="s">
        <v>210</v>
      </c>
      <c r="H1083" s="128">
        <v>2012</v>
      </c>
      <c r="I1083" s="128" t="s">
        <v>1835</v>
      </c>
      <c r="J1083" s="128">
        <f t="shared" si="32"/>
        <v>4</v>
      </c>
      <c r="K1083" s="128" t="s">
        <v>2372</v>
      </c>
      <c r="L1083" s="128" t="s">
        <v>30</v>
      </c>
      <c r="M1083" s="129" t="s">
        <v>31</v>
      </c>
      <c r="N1083" s="129" t="s">
        <v>28</v>
      </c>
      <c r="O1083" s="129" t="s">
        <v>28</v>
      </c>
      <c r="P1083" s="129" t="str">
        <f t="shared" si="33"/>
        <v>N/A</v>
      </c>
      <c r="Q1083" s="128" t="s">
        <v>2373</v>
      </c>
      <c r="R1083" s="128">
        <v>11.44</v>
      </c>
      <c r="S1083" s="130"/>
      <c r="T1083" s="130" t="s">
        <v>31</v>
      </c>
      <c r="U1083" s="152"/>
    </row>
    <row r="1084" spans="1:21" ht="15.75" hidden="1" thickBot="1">
      <c r="A1084" s="45">
        <v>1201</v>
      </c>
      <c r="B1084" s="123"/>
      <c r="C1084" s="123"/>
      <c r="D1084" s="123"/>
      <c r="E1084" s="123"/>
      <c r="F1084" s="123"/>
      <c r="G1084" s="127" t="s">
        <v>210</v>
      </c>
      <c r="H1084" s="128">
        <v>2012</v>
      </c>
      <c r="I1084" s="128" t="s">
        <v>1835</v>
      </c>
      <c r="J1084" s="128">
        <f t="shared" si="32"/>
        <v>4</v>
      </c>
      <c r="K1084" s="128" t="s">
        <v>2374</v>
      </c>
      <c r="L1084" s="128" t="s">
        <v>30</v>
      </c>
      <c r="M1084" s="129" t="s">
        <v>31</v>
      </c>
      <c r="N1084" s="129" t="s">
        <v>28</v>
      </c>
      <c r="O1084" s="129" t="s">
        <v>28</v>
      </c>
      <c r="P1084" s="129" t="str">
        <f t="shared" si="33"/>
        <v>N/A</v>
      </c>
      <c r="Q1084" s="128" t="s">
        <v>2375</v>
      </c>
      <c r="R1084" s="128">
        <v>8.4499999999999993</v>
      </c>
      <c r="S1084" s="130"/>
      <c r="T1084" s="130" t="s">
        <v>31</v>
      </c>
      <c r="U1084" s="152"/>
    </row>
    <row r="1085" spans="1:21" ht="15.75" hidden="1" thickBot="1">
      <c r="A1085" s="45">
        <v>1201</v>
      </c>
      <c r="B1085" s="123"/>
      <c r="C1085" s="123"/>
      <c r="D1085" s="123"/>
      <c r="E1085" s="123"/>
      <c r="F1085" s="123"/>
      <c r="G1085" s="127" t="s">
        <v>210</v>
      </c>
      <c r="H1085" s="128">
        <v>2012</v>
      </c>
      <c r="I1085" s="128" t="s">
        <v>1835</v>
      </c>
      <c r="J1085" s="128">
        <f t="shared" si="32"/>
        <v>4</v>
      </c>
      <c r="K1085" s="128" t="s">
        <v>2191</v>
      </c>
      <c r="L1085" s="128" t="s">
        <v>30</v>
      </c>
      <c r="M1085" s="129" t="s">
        <v>34</v>
      </c>
      <c r="N1085" s="129" t="s">
        <v>28</v>
      </c>
      <c r="O1085" s="129" t="s">
        <v>28</v>
      </c>
      <c r="P1085" s="129" t="str">
        <f t="shared" si="33"/>
        <v>N/A</v>
      </c>
      <c r="Q1085" s="128" t="s">
        <v>2376</v>
      </c>
      <c r="R1085" s="128">
        <v>4.4000000000000004</v>
      </c>
      <c r="S1085" s="130"/>
      <c r="T1085" s="130" t="s">
        <v>998</v>
      </c>
      <c r="U1085" s="152"/>
    </row>
    <row r="1086" spans="1:21" ht="15.75" hidden="1" thickBot="1">
      <c r="A1086" s="45">
        <v>1201</v>
      </c>
      <c r="B1086" s="123"/>
      <c r="C1086" s="123"/>
      <c r="D1086" s="123"/>
      <c r="E1086" s="123"/>
      <c r="F1086" s="123"/>
      <c r="G1086" s="127" t="s">
        <v>210</v>
      </c>
      <c r="H1086" s="128">
        <v>2012</v>
      </c>
      <c r="I1086" s="128" t="s">
        <v>1835</v>
      </c>
      <c r="J1086" s="128">
        <f t="shared" si="32"/>
        <v>4</v>
      </c>
      <c r="K1086" s="128" t="s">
        <v>233</v>
      </c>
      <c r="L1086" s="128" t="s">
        <v>30</v>
      </c>
      <c r="M1086" s="129" t="s">
        <v>34</v>
      </c>
      <c r="N1086" s="129" t="s">
        <v>32</v>
      </c>
      <c r="O1086" s="129" t="s">
        <v>32</v>
      </c>
      <c r="P1086" s="129" t="str">
        <f t="shared" si="33"/>
        <v>Y</v>
      </c>
      <c r="Q1086" s="132" t="s">
        <v>2377</v>
      </c>
      <c r="R1086" s="128">
        <v>75.42</v>
      </c>
      <c r="S1086" s="130"/>
      <c r="T1086" s="130" t="s">
        <v>998</v>
      </c>
      <c r="U1086" s="152"/>
    </row>
    <row r="1087" spans="1:21" ht="15.75" hidden="1" thickBot="1">
      <c r="A1087" s="45">
        <v>1202</v>
      </c>
      <c r="B1087" s="123"/>
      <c r="C1087" s="123"/>
      <c r="D1087" s="123"/>
      <c r="E1087" s="123"/>
      <c r="F1087" s="123"/>
      <c r="G1087" s="127" t="s">
        <v>210</v>
      </c>
      <c r="H1087" s="128">
        <v>2012</v>
      </c>
      <c r="I1087" s="128" t="s">
        <v>1860</v>
      </c>
      <c r="J1087" s="128">
        <f t="shared" si="32"/>
        <v>8</v>
      </c>
      <c r="K1087" s="128" t="s">
        <v>2378</v>
      </c>
      <c r="L1087" s="128" t="s">
        <v>30</v>
      </c>
      <c r="M1087" s="129" t="s">
        <v>31</v>
      </c>
      <c r="N1087" s="129" t="s">
        <v>28</v>
      </c>
      <c r="O1087" s="129" t="s">
        <v>28</v>
      </c>
      <c r="P1087" s="129" t="str">
        <f t="shared" si="33"/>
        <v>N/A</v>
      </c>
      <c r="Q1087" s="132" t="s">
        <v>2379</v>
      </c>
      <c r="R1087" s="128">
        <v>2.21</v>
      </c>
      <c r="S1087" s="128">
        <v>0</v>
      </c>
      <c r="T1087" s="130" t="s">
        <v>31</v>
      </c>
      <c r="U1087" s="152"/>
    </row>
    <row r="1088" spans="1:21" ht="15.75" hidden="1" thickBot="1">
      <c r="A1088" s="45">
        <v>1202</v>
      </c>
      <c r="B1088" s="123"/>
      <c r="C1088" s="123"/>
      <c r="D1088" s="123"/>
      <c r="E1088" s="123"/>
      <c r="F1088" s="123"/>
      <c r="G1088" s="127" t="s">
        <v>210</v>
      </c>
      <c r="H1088" s="128">
        <v>2012</v>
      </c>
      <c r="I1088" s="128" t="s">
        <v>1860</v>
      </c>
      <c r="J1088" s="128">
        <f t="shared" si="32"/>
        <v>8</v>
      </c>
      <c r="K1088" s="128" t="s">
        <v>2380</v>
      </c>
      <c r="L1088" s="128" t="s">
        <v>30</v>
      </c>
      <c r="M1088" s="129" t="s">
        <v>201</v>
      </c>
      <c r="N1088" s="129" t="s">
        <v>28</v>
      </c>
      <c r="O1088" s="129" t="s">
        <v>28</v>
      </c>
      <c r="P1088" s="129" t="str">
        <f t="shared" si="33"/>
        <v>N/A</v>
      </c>
      <c r="Q1088" s="128" t="s">
        <v>2381</v>
      </c>
      <c r="R1088" s="128">
        <v>3.72</v>
      </c>
      <c r="S1088" s="128">
        <v>0</v>
      </c>
      <c r="T1088" s="130" t="s">
        <v>998</v>
      </c>
      <c r="U1088" s="152"/>
    </row>
    <row r="1089" spans="1:21" ht="15.75" hidden="1" thickBot="1">
      <c r="A1089" s="45">
        <v>1202</v>
      </c>
      <c r="B1089" s="123"/>
      <c r="C1089" s="123"/>
      <c r="D1089" s="123"/>
      <c r="E1089" s="123"/>
      <c r="F1089" s="123"/>
      <c r="G1089" s="127" t="s">
        <v>210</v>
      </c>
      <c r="H1089" s="128">
        <v>2012</v>
      </c>
      <c r="I1089" s="128" t="s">
        <v>1860</v>
      </c>
      <c r="J1089" s="128">
        <f t="shared" si="32"/>
        <v>8</v>
      </c>
      <c r="K1089" s="128" t="s">
        <v>2382</v>
      </c>
      <c r="L1089" s="128" t="s">
        <v>40</v>
      </c>
      <c r="M1089" s="129" t="s">
        <v>31</v>
      </c>
      <c r="N1089" s="129" t="s">
        <v>28</v>
      </c>
      <c r="O1089" s="129" t="s">
        <v>28</v>
      </c>
      <c r="P1089" s="129" t="str">
        <f t="shared" si="33"/>
        <v>N/A</v>
      </c>
      <c r="Q1089" s="132" t="s">
        <v>2383</v>
      </c>
      <c r="R1089" s="128">
        <v>1.38</v>
      </c>
      <c r="S1089" s="128">
        <v>0</v>
      </c>
      <c r="T1089" s="130" t="s">
        <v>31</v>
      </c>
      <c r="U1089" s="152"/>
    </row>
    <row r="1090" spans="1:21" ht="15.75" hidden="1" thickBot="1">
      <c r="A1090" s="45">
        <v>1202</v>
      </c>
      <c r="B1090" s="123"/>
      <c r="C1090" s="123"/>
      <c r="D1090" s="123"/>
      <c r="E1090" s="123"/>
      <c r="F1090" s="123"/>
      <c r="G1090" s="127" t="s">
        <v>210</v>
      </c>
      <c r="H1090" s="128">
        <v>2012</v>
      </c>
      <c r="I1090" s="128" t="s">
        <v>1860</v>
      </c>
      <c r="J1090" s="128">
        <f t="shared" ref="J1090:J1153" si="34">COUNTIF(A$2:A$2215, A1090)</f>
        <v>8</v>
      </c>
      <c r="K1090" s="128" t="s">
        <v>2384</v>
      </c>
      <c r="L1090" s="128" t="s">
        <v>30</v>
      </c>
      <c r="M1090" s="129" t="s">
        <v>31</v>
      </c>
      <c r="N1090" s="129" t="s">
        <v>28</v>
      </c>
      <c r="O1090" s="129" t="s">
        <v>28</v>
      </c>
      <c r="P1090" s="129" t="str">
        <f t="shared" si="33"/>
        <v>N/A</v>
      </c>
      <c r="Q1090" s="128" t="s">
        <v>2385</v>
      </c>
      <c r="R1090" s="128">
        <v>16.13</v>
      </c>
      <c r="S1090" s="128">
        <v>0</v>
      </c>
      <c r="T1090" s="130" t="s">
        <v>31</v>
      </c>
      <c r="U1090" s="152"/>
    </row>
    <row r="1091" spans="1:21" ht="15.75" hidden="1" thickBot="1">
      <c r="A1091" s="45">
        <v>1202</v>
      </c>
      <c r="B1091" s="123"/>
      <c r="C1091" s="123"/>
      <c r="D1091" s="123"/>
      <c r="E1091" s="123"/>
      <c r="F1091" s="123"/>
      <c r="G1091" s="127" t="s">
        <v>210</v>
      </c>
      <c r="H1091" s="128">
        <v>2012</v>
      </c>
      <c r="I1091" s="128" t="s">
        <v>1860</v>
      </c>
      <c r="J1091" s="128">
        <f t="shared" si="34"/>
        <v>8</v>
      </c>
      <c r="K1091" s="128" t="s">
        <v>2060</v>
      </c>
      <c r="L1091" s="128" t="s">
        <v>30</v>
      </c>
      <c r="M1091" s="129" t="s">
        <v>1003</v>
      </c>
      <c r="N1091" s="129" t="s">
        <v>28</v>
      </c>
      <c r="O1091" s="129" t="s">
        <v>28</v>
      </c>
      <c r="P1091" s="129" t="str">
        <f t="shared" ref="P1091:P1154" si="35">IF(O1091="N", "N/A", IF(AND(N1091="N",  O1091="Y"), "N", IF(AND(O1091="Y", N1091="Y"), "Y", "")))</f>
        <v>N/A</v>
      </c>
      <c r="Q1091" s="130"/>
      <c r="R1091" s="128">
        <v>15.14</v>
      </c>
      <c r="S1091" s="128">
        <v>0</v>
      </c>
      <c r="T1091" s="130" t="s">
        <v>31</v>
      </c>
      <c r="U1091" s="152"/>
    </row>
    <row r="1092" spans="1:21" ht="15.75" hidden="1" thickBot="1">
      <c r="A1092" s="45">
        <v>1202</v>
      </c>
      <c r="B1092" s="123"/>
      <c r="C1092" s="123"/>
      <c r="D1092" s="123"/>
      <c r="E1092" s="123"/>
      <c r="F1092" s="123"/>
      <c r="G1092" s="127" t="s">
        <v>210</v>
      </c>
      <c r="H1092" s="128">
        <v>2012</v>
      </c>
      <c r="I1092" s="128" t="s">
        <v>1860</v>
      </c>
      <c r="J1092" s="128">
        <f t="shared" si="34"/>
        <v>8</v>
      </c>
      <c r="K1092" s="128" t="s">
        <v>234</v>
      </c>
      <c r="L1092" s="128" t="s">
        <v>40</v>
      </c>
      <c r="M1092" s="129" t="s">
        <v>201</v>
      </c>
      <c r="N1092" s="129" t="s">
        <v>32</v>
      </c>
      <c r="O1092" s="129" t="s">
        <v>28</v>
      </c>
      <c r="P1092" s="129" t="str">
        <f t="shared" si="35"/>
        <v>N/A</v>
      </c>
      <c r="Q1092" s="132" t="s">
        <v>2386</v>
      </c>
      <c r="R1092" s="128">
        <v>27.87</v>
      </c>
      <c r="S1092" s="128">
        <v>56.16</v>
      </c>
      <c r="T1092" s="130" t="s">
        <v>998</v>
      </c>
      <c r="U1092" s="152"/>
    </row>
    <row r="1093" spans="1:21" ht="15.75" hidden="1" thickBot="1">
      <c r="A1093" s="45">
        <v>1202</v>
      </c>
      <c r="B1093" s="123"/>
      <c r="C1093" s="123"/>
      <c r="D1093" s="123"/>
      <c r="E1093" s="123"/>
      <c r="F1093" s="123"/>
      <c r="G1093" s="127" t="s">
        <v>210</v>
      </c>
      <c r="H1093" s="128">
        <v>2012</v>
      </c>
      <c r="I1093" s="128" t="s">
        <v>1860</v>
      </c>
      <c r="J1093" s="128">
        <f t="shared" si="34"/>
        <v>8</v>
      </c>
      <c r="K1093" s="128" t="s">
        <v>2387</v>
      </c>
      <c r="L1093" s="128" t="s">
        <v>40</v>
      </c>
      <c r="M1093" s="129" t="s">
        <v>31</v>
      </c>
      <c r="N1093" s="129" t="s">
        <v>28</v>
      </c>
      <c r="O1093" s="129" t="s">
        <v>28</v>
      </c>
      <c r="P1093" s="129" t="str">
        <f t="shared" si="35"/>
        <v>N/A</v>
      </c>
      <c r="Q1093" s="132" t="s">
        <v>2388</v>
      </c>
      <c r="R1093" s="128">
        <v>13.47</v>
      </c>
      <c r="S1093" s="128">
        <v>0</v>
      </c>
      <c r="T1093" s="130" t="s">
        <v>31</v>
      </c>
      <c r="U1093" s="152"/>
    </row>
    <row r="1094" spans="1:21" ht="15.75" thickBot="1">
      <c r="A1094" s="45">
        <v>1202</v>
      </c>
      <c r="B1094" s="123"/>
      <c r="C1094" s="123"/>
      <c r="D1094" s="123"/>
      <c r="E1094" s="123"/>
      <c r="F1094" s="123"/>
      <c r="G1094" s="127" t="s">
        <v>210</v>
      </c>
      <c r="H1094" s="128">
        <v>2012</v>
      </c>
      <c r="I1094" s="128" t="s">
        <v>1860</v>
      </c>
      <c r="J1094" s="128">
        <f t="shared" si="34"/>
        <v>8</v>
      </c>
      <c r="K1094" s="128" t="s">
        <v>2389</v>
      </c>
      <c r="L1094" s="128" t="s">
        <v>40</v>
      </c>
      <c r="M1094" s="129" t="s">
        <v>1065</v>
      </c>
      <c r="N1094" s="129" t="s">
        <v>28</v>
      </c>
      <c r="O1094" s="129" t="s">
        <v>32</v>
      </c>
      <c r="P1094" s="129" t="str">
        <f t="shared" si="35"/>
        <v>N</v>
      </c>
      <c r="Q1094" s="128" t="s">
        <v>2390</v>
      </c>
      <c r="R1094" s="128">
        <v>19.75</v>
      </c>
      <c r="S1094" s="128">
        <v>43.84</v>
      </c>
      <c r="T1094" s="130" t="s">
        <v>998</v>
      </c>
      <c r="U1094" s="152"/>
    </row>
    <row r="1095" spans="1:21" ht="15.75" hidden="1" thickBot="1">
      <c r="A1095" s="45">
        <v>1203</v>
      </c>
      <c r="B1095" s="123"/>
      <c r="C1095" s="123"/>
      <c r="D1095" s="123"/>
      <c r="E1095" s="123"/>
      <c r="F1095" s="123"/>
      <c r="G1095" s="127" t="s">
        <v>210</v>
      </c>
      <c r="H1095" s="128">
        <v>2012</v>
      </c>
      <c r="I1095" s="128" t="s">
        <v>1902</v>
      </c>
      <c r="J1095" s="128">
        <f t="shared" si="34"/>
        <v>9</v>
      </c>
      <c r="K1095" s="128" t="s">
        <v>2391</v>
      </c>
      <c r="L1095" s="128" t="s">
        <v>30</v>
      </c>
      <c r="M1095" s="129" t="s">
        <v>1003</v>
      </c>
      <c r="N1095" s="129" t="s">
        <v>28</v>
      </c>
      <c r="O1095" s="129" t="s">
        <v>28</v>
      </c>
      <c r="P1095" s="129" t="str">
        <f t="shared" si="35"/>
        <v>N/A</v>
      </c>
      <c r="Q1095" s="128" t="s">
        <v>1004</v>
      </c>
      <c r="R1095" s="128">
        <v>2.63</v>
      </c>
      <c r="S1095" s="128">
        <v>0</v>
      </c>
      <c r="T1095" s="130"/>
      <c r="U1095" s="152"/>
    </row>
    <row r="1096" spans="1:21" ht="15.75" hidden="1" thickBot="1">
      <c r="A1096" s="45">
        <v>1203</v>
      </c>
      <c r="B1096" s="123"/>
      <c r="C1096" s="123"/>
      <c r="D1096" s="123"/>
      <c r="E1096" s="123"/>
      <c r="F1096" s="123"/>
      <c r="G1096" s="127" t="s">
        <v>210</v>
      </c>
      <c r="H1096" s="128">
        <v>2012</v>
      </c>
      <c r="I1096" s="128" t="s">
        <v>1902</v>
      </c>
      <c r="J1096" s="128">
        <f t="shared" si="34"/>
        <v>9</v>
      </c>
      <c r="K1096" s="128" t="s">
        <v>2392</v>
      </c>
      <c r="L1096" s="128" t="s">
        <v>30</v>
      </c>
      <c r="M1096" s="129" t="s">
        <v>31</v>
      </c>
      <c r="N1096" s="129" t="s">
        <v>28</v>
      </c>
      <c r="O1096" s="129" t="s">
        <v>28</v>
      </c>
      <c r="P1096" s="129" t="str">
        <f t="shared" si="35"/>
        <v>N/A</v>
      </c>
      <c r="Q1096" s="128" t="s">
        <v>2393</v>
      </c>
      <c r="R1096" s="128">
        <v>24.65</v>
      </c>
      <c r="S1096" s="128">
        <v>49.73</v>
      </c>
      <c r="T1096" s="130" t="s">
        <v>31</v>
      </c>
      <c r="U1096" s="152"/>
    </row>
    <row r="1097" spans="1:21" ht="15.75" hidden="1" thickBot="1">
      <c r="A1097" s="45">
        <v>1203</v>
      </c>
      <c r="B1097" s="123"/>
      <c r="C1097" s="123"/>
      <c r="D1097" s="123"/>
      <c r="E1097" s="123"/>
      <c r="F1097" s="123"/>
      <c r="G1097" s="127" t="s">
        <v>210</v>
      </c>
      <c r="H1097" s="128">
        <v>2012</v>
      </c>
      <c r="I1097" s="128" t="s">
        <v>1902</v>
      </c>
      <c r="J1097" s="128">
        <f t="shared" si="34"/>
        <v>9</v>
      </c>
      <c r="K1097" s="128" t="s">
        <v>2394</v>
      </c>
      <c r="L1097" s="128" t="s">
        <v>30</v>
      </c>
      <c r="M1097" s="129" t="s">
        <v>31</v>
      </c>
      <c r="N1097" s="129" t="s">
        <v>28</v>
      </c>
      <c r="O1097" s="129" t="s">
        <v>28</v>
      </c>
      <c r="P1097" s="129" t="str">
        <f t="shared" si="35"/>
        <v>N/A</v>
      </c>
      <c r="Q1097" s="128" t="s">
        <v>2395</v>
      </c>
      <c r="R1097" s="128">
        <v>1.9</v>
      </c>
      <c r="S1097" s="128">
        <v>0</v>
      </c>
      <c r="T1097" s="130" t="s">
        <v>998</v>
      </c>
      <c r="U1097" s="152"/>
    </row>
    <row r="1098" spans="1:21" ht="15.75" hidden="1" thickBot="1">
      <c r="A1098" s="45">
        <v>1203</v>
      </c>
      <c r="B1098" s="123"/>
      <c r="C1098" s="123"/>
      <c r="D1098" s="123"/>
      <c r="E1098" s="123"/>
      <c r="F1098" s="123"/>
      <c r="G1098" s="127" t="s">
        <v>210</v>
      </c>
      <c r="H1098" s="128">
        <v>2012</v>
      </c>
      <c r="I1098" s="128" t="s">
        <v>1902</v>
      </c>
      <c r="J1098" s="128">
        <f t="shared" si="34"/>
        <v>9</v>
      </c>
      <c r="K1098" s="128" t="s">
        <v>2396</v>
      </c>
      <c r="L1098" s="128" t="s">
        <v>30</v>
      </c>
      <c r="M1098" s="129" t="s">
        <v>31</v>
      </c>
      <c r="N1098" s="129" t="s">
        <v>28</v>
      </c>
      <c r="O1098" s="129" t="s">
        <v>28</v>
      </c>
      <c r="P1098" s="129" t="str">
        <f t="shared" si="35"/>
        <v>N/A</v>
      </c>
      <c r="Q1098" s="128" t="s">
        <v>2397</v>
      </c>
      <c r="R1098" s="128">
        <v>13.29</v>
      </c>
      <c r="S1098" s="128">
        <v>0</v>
      </c>
      <c r="T1098" s="130" t="s">
        <v>31</v>
      </c>
      <c r="U1098" s="152"/>
    </row>
    <row r="1099" spans="1:21" ht="15.75" hidden="1" thickBot="1">
      <c r="A1099" s="45">
        <v>1203</v>
      </c>
      <c r="B1099" s="123"/>
      <c r="C1099" s="123"/>
      <c r="D1099" s="123"/>
      <c r="E1099" s="123"/>
      <c r="F1099" s="123"/>
      <c r="G1099" s="127" t="s">
        <v>210</v>
      </c>
      <c r="H1099" s="128">
        <v>2012</v>
      </c>
      <c r="I1099" s="128" t="s">
        <v>1902</v>
      </c>
      <c r="J1099" s="128">
        <f t="shared" si="34"/>
        <v>9</v>
      </c>
      <c r="K1099" s="128" t="s">
        <v>2229</v>
      </c>
      <c r="L1099" s="128" t="s">
        <v>30</v>
      </c>
      <c r="M1099" s="129" t="s">
        <v>31</v>
      </c>
      <c r="N1099" s="129" t="s">
        <v>28</v>
      </c>
      <c r="O1099" s="129" t="s">
        <v>28</v>
      </c>
      <c r="P1099" s="129" t="str">
        <f t="shared" si="35"/>
        <v>N/A</v>
      </c>
      <c r="Q1099" s="132" t="s">
        <v>2230</v>
      </c>
      <c r="R1099" s="128">
        <v>3.47</v>
      </c>
      <c r="S1099" s="128">
        <v>0</v>
      </c>
      <c r="T1099" s="130" t="s">
        <v>31</v>
      </c>
      <c r="U1099" s="152"/>
    </row>
    <row r="1100" spans="1:21" ht="15.75" hidden="1" thickBot="1">
      <c r="A1100" s="45">
        <v>1203</v>
      </c>
      <c r="B1100" s="123"/>
      <c r="C1100" s="123"/>
      <c r="D1100" s="123"/>
      <c r="E1100" s="123"/>
      <c r="F1100" s="123"/>
      <c r="G1100" s="127" t="s">
        <v>210</v>
      </c>
      <c r="H1100" s="128">
        <v>2012</v>
      </c>
      <c r="I1100" s="128" t="s">
        <v>1902</v>
      </c>
      <c r="J1100" s="128">
        <f t="shared" si="34"/>
        <v>9</v>
      </c>
      <c r="K1100" s="128" t="s">
        <v>2398</v>
      </c>
      <c r="L1100" s="128" t="s">
        <v>40</v>
      </c>
      <c r="M1100" s="129" t="s">
        <v>201</v>
      </c>
      <c r="N1100" s="129" t="s">
        <v>28</v>
      </c>
      <c r="O1100" s="129" t="s">
        <v>28</v>
      </c>
      <c r="P1100" s="129" t="str">
        <f t="shared" si="35"/>
        <v>N/A</v>
      </c>
      <c r="Q1100" s="128" t="s">
        <v>2399</v>
      </c>
      <c r="R1100" s="128">
        <v>2.29</v>
      </c>
      <c r="S1100" s="128">
        <v>0</v>
      </c>
      <c r="T1100" s="130" t="s">
        <v>998</v>
      </c>
      <c r="U1100" s="152"/>
    </row>
    <row r="1101" spans="1:21" ht="15.75" hidden="1" thickBot="1">
      <c r="A1101" s="45">
        <v>1203</v>
      </c>
      <c r="B1101" s="123"/>
      <c r="C1101" s="123"/>
      <c r="D1101" s="123"/>
      <c r="E1101" s="123"/>
      <c r="F1101" s="123"/>
      <c r="G1101" s="127" t="s">
        <v>210</v>
      </c>
      <c r="H1101" s="128">
        <v>2012</v>
      </c>
      <c r="I1101" s="128" t="s">
        <v>1902</v>
      </c>
      <c r="J1101" s="128">
        <f t="shared" si="34"/>
        <v>9</v>
      </c>
      <c r="K1101" s="128" t="s">
        <v>2400</v>
      </c>
      <c r="L1101" s="128" t="s">
        <v>30</v>
      </c>
      <c r="M1101" s="129" t="s">
        <v>31</v>
      </c>
      <c r="N1101" s="129" t="s">
        <v>28</v>
      </c>
      <c r="O1101" s="129" t="s">
        <v>28</v>
      </c>
      <c r="P1101" s="129" t="str">
        <f t="shared" si="35"/>
        <v>N/A</v>
      </c>
      <c r="Q1101" s="128" t="s">
        <v>1004</v>
      </c>
      <c r="R1101" s="128">
        <v>17.52</v>
      </c>
      <c r="S1101" s="128">
        <v>0</v>
      </c>
      <c r="T1101" s="130" t="s">
        <v>31</v>
      </c>
      <c r="U1101" s="152"/>
    </row>
    <row r="1102" spans="1:21" ht="15.75" hidden="1" thickBot="1">
      <c r="A1102" s="45">
        <v>1203</v>
      </c>
      <c r="B1102" s="123"/>
      <c r="C1102" s="123"/>
      <c r="D1102" s="123"/>
      <c r="E1102" s="123"/>
      <c r="F1102" s="123"/>
      <c r="G1102" s="127" t="s">
        <v>210</v>
      </c>
      <c r="H1102" s="128">
        <v>2012</v>
      </c>
      <c r="I1102" s="128" t="s">
        <v>1902</v>
      </c>
      <c r="J1102" s="128">
        <f t="shared" si="34"/>
        <v>9</v>
      </c>
      <c r="K1102" s="128" t="s">
        <v>235</v>
      </c>
      <c r="L1102" s="128" t="s">
        <v>30</v>
      </c>
      <c r="M1102" s="129" t="s">
        <v>34</v>
      </c>
      <c r="N1102" s="129" t="s">
        <v>32</v>
      </c>
      <c r="O1102" s="129" t="s">
        <v>28</v>
      </c>
      <c r="P1102" s="129" t="str">
        <f t="shared" si="35"/>
        <v>N/A</v>
      </c>
      <c r="Q1102" s="132" t="s">
        <v>2401</v>
      </c>
      <c r="R1102" s="128">
        <v>29.18</v>
      </c>
      <c r="S1102" s="128">
        <v>50.27</v>
      </c>
      <c r="T1102" s="130" t="s">
        <v>998</v>
      </c>
      <c r="U1102" s="152"/>
    </row>
    <row r="1103" spans="1:21" ht="15.75" hidden="1" thickBot="1">
      <c r="A1103" s="45">
        <v>1203</v>
      </c>
      <c r="B1103" s="123"/>
      <c r="C1103" s="123"/>
      <c r="D1103" s="123"/>
      <c r="E1103" s="123"/>
      <c r="F1103" s="123"/>
      <c r="G1103" s="127" t="s">
        <v>210</v>
      </c>
      <c r="H1103" s="128">
        <v>2012</v>
      </c>
      <c r="I1103" s="128" t="s">
        <v>1902</v>
      </c>
      <c r="J1103" s="128">
        <f t="shared" si="34"/>
        <v>9</v>
      </c>
      <c r="K1103" s="128" t="s">
        <v>1778</v>
      </c>
      <c r="L1103" s="128" t="s">
        <v>30</v>
      </c>
      <c r="M1103" s="129" t="s">
        <v>1003</v>
      </c>
      <c r="N1103" s="129" t="s">
        <v>28</v>
      </c>
      <c r="O1103" s="129" t="s">
        <v>28</v>
      </c>
      <c r="P1103" s="129" t="str">
        <f t="shared" si="35"/>
        <v>N/A</v>
      </c>
      <c r="Q1103" s="130"/>
      <c r="R1103" s="128">
        <v>4.91</v>
      </c>
      <c r="S1103" s="128">
        <v>0</v>
      </c>
      <c r="T1103" s="130" t="s">
        <v>31</v>
      </c>
      <c r="U1103" s="152"/>
    </row>
    <row r="1104" spans="1:21" ht="39" hidden="1" thickBot="1">
      <c r="A1104" s="45">
        <v>1204</v>
      </c>
      <c r="B1104" s="123"/>
      <c r="C1104" s="123"/>
      <c r="D1104" s="123"/>
      <c r="E1104" s="123"/>
      <c r="F1104" s="123"/>
      <c r="G1104" s="127" t="s">
        <v>210</v>
      </c>
      <c r="H1104" s="128">
        <v>2012</v>
      </c>
      <c r="I1104" s="159" t="s">
        <v>1922</v>
      </c>
      <c r="J1104" s="128">
        <f t="shared" si="34"/>
        <v>2</v>
      </c>
      <c r="K1104" s="159" t="s">
        <v>2402</v>
      </c>
      <c r="L1104" s="159" t="s">
        <v>30</v>
      </c>
      <c r="M1104" s="160" t="s">
        <v>1003</v>
      </c>
      <c r="N1104" s="129" t="s">
        <v>28</v>
      </c>
      <c r="O1104" s="129" t="s">
        <v>28</v>
      </c>
      <c r="P1104" s="129" t="str">
        <f t="shared" si="35"/>
        <v>N/A</v>
      </c>
      <c r="Q1104" s="159" t="s">
        <v>2403</v>
      </c>
      <c r="R1104" s="159">
        <v>0.72</v>
      </c>
      <c r="S1104" s="130"/>
      <c r="T1104" s="130"/>
      <c r="U1104" s="152" t="s">
        <v>2404</v>
      </c>
    </row>
    <row r="1105" spans="1:21" ht="15.75" hidden="1" thickBot="1">
      <c r="A1105" s="45">
        <v>1204</v>
      </c>
      <c r="B1105" s="123"/>
      <c r="C1105" s="123"/>
      <c r="D1105" s="123"/>
      <c r="E1105" s="123"/>
      <c r="F1105" s="123"/>
      <c r="G1105" s="127" t="s">
        <v>210</v>
      </c>
      <c r="H1105" s="128">
        <v>2012</v>
      </c>
      <c r="I1105" s="128" t="s">
        <v>1922</v>
      </c>
      <c r="J1105" s="128">
        <f t="shared" si="34"/>
        <v>2</v>
      </c>
      <c r="K1105" s="128" t="s">
        <v>237</v>
      </c>
      <c r="L1105" s="128" t="s">
        <v>30</v>
      </c>
      <c r="M1105" s="129" t="s">
        <v>1065</v>
      </c>
      <c r="N1105" s="129" t="s">
        <v>32</v>
      </c>
      <c r="O1105" s="129" t="s">
        <v>32</v>
      </c>
      <c r="P1105" s="129" t="str">
        <f t="shared" si="35"/>
        <v>Y</v>
      </c>
      <c r="Q1105" s="132" t="s">
        <v>2405</v>
      </c>
      <c r="R1105" s="128">
        <v>95.08</v>
      </c>
      <c r="S1105" s="130"/>
      <c r="T1105" s="130" t="s">
        <v>998</v>
      </c>
      <c r="U1105" s="152"/>
    </row>
    <row r="1106" spans="1:21" ht="15.75" hidden="1" thickBot="1">
      <c r="A1106" s="45">
        <v>1205</v>
      </c>
      <c r="B1106" s="123"/>
      <c r="C1106" s="123"/>
      <c r="D1106" s="123"/>
      <c r="E1106" s="123"/>
      <c r="F1106" s="123"/>
      <c r="G1106" s="127" t="s">
        <v>210</v>
      </c>
      <c r="H1106" s="128">
        <v>2012</v>
      </c>
      <c r="I1106" s="128" t="s">
        <v>1949</v>
      </c>
      <c r="J1106" s="128">
        <f t="shared" si="34"/>
        <v>1</v>
      </c>
      <c r="K1106" s="128" t="s">
        <v>239</v>
      </c>
      <c r="L1106" s="128" t="s">
        <v>30</v>
      </c>
      <c r="M1106" s="129" t="s">
        <v>1065</v>
      </c>
      <c r="N1106" s="129" t="s">
        <v>32</v>
      </c>
      <c r="O1106" s="129" t="s">
        <v>32</v>
      </c>
      <c r="P1106" s="129" t="str">
        <f t="shared" si="35"/>
        <v>Y</v>
      </c>
      <c r="Q1106" s="132" t="s">
        <v>2406</v>
      </c>
      <c r="R1106" s="128">
        <v>94.25</v>
      </c>
      <c r="S1106" s="130"/>
      <c r="T1106" s="130" t="s">
        <v>998</v>
      </c>
      <c r="U1106" s="152"/>
    </row>
    <row r="1107" spans="1:21" ht="26.25" hidden="1" thickBot="1">
      <c r="A1107" s="45">
        <v>1197</v>
      </c>
      <c r="B1107" s="123"/>
      <c r="C1107" s="123"/>
      <c r="D1107" s="123"/>
      <c r="E1107" s="123"/>
      <c r="F1107" s="123"/>
      <c r="G1107" s="127" t="s">
        <v>210</v>
      </c>
      <c r="H1107" s="128">
        <v>2013</v>
      </c>
      <c r="I1107" s="128" t="s">
        <v>124</v>
      </c>
      <c r="J1107" s="128">
        <f t="shared" si="34"/>
        <v>1</v>
      </c>
      <c r="K1107" s="128" t="s">
        <v>1962</v>
      </c>
      <c r="L1107" s="128" t="s">
        <v>30</v>
      </c>
      <c r="M1107" s="129" t="s">
        <v>1065</v>
      </c>
      <c r="N1107" s="129" t="s">
        <v>32</v>
      </c>
      <c r="O1107" s="129" t="s">
        <v>32</v>
      </c>
      <c r="P1107" s="129" t="str">
        <f t="shared" si="35"/>
        <v>Y</v>
      </c>
      <c r="Q1107" s="132" t="s">
        <v>2407</v>
      </c>
      <c r="R1107" s="128">
        <v>96.91</v>
      </c>
      <c r="S1107" s="130"/>
      <c r="T1107" s="130" t="s">
        <v>2408</v>
      </c>
      <c r="U1107" s="152"/>
    </row>
    <row r="1108" spans="1:21" ht="15.75" thickBot="1">
      <c r="A1108" s="45">
        <v>1198</v>
      </c>
      <c r="B1108" s="123"/>
      <c r="C1108" s="123"/>
      <c r="D1108" s="123"/>
      <c r="E1108" s="123"/>
      <c r="F1108" s="123"/>
      <c r="G1108" s="127" t="s">
        <v>210</v>
      </c>
      <c r="H1108" s="128">
        <v>2013</v>
      </c>
      <c r="I1108" s="128" t="s">
        <v>230</v>
      </c>
      <c r="J1108" s="128">
        <f t="shared" si="34"/>
        <v>1</v>
      </c>
      <c r="K1108" s="128" t="s">
        <v>231</v>
      </c>
      <c r="L1108" s="128" t="s">
        <v>30</v>
      </c>
      <c r="M1108" s="129" t="s">
        <v>1065</v>
      </c>
      <c r="N1108" s="129" t="s">
        <v>32</v>
      </c>
      <c r="O1108" s="129"/>
      <c r="P1108" s="129" t="str">
        <f t="shared" si="35"/>
        <v/>
      </c>
      <c r="Q1108" s="128" t="s">
        <v>2409</v>
      </c>
      <c r="R1108" s="128">
        <v>96.87</v>
      </c>
      <c r="S1108" s="130"/>
      <c r="T1108" s="130" t="s">
        <v>998</v>
      </c>
      <c r="U1108" s="152"/>
    </row>
    <row r="1109" spans="1:21" ht="15.75" hidden="1" thickBot="1">
      <c r="A1109" s="45">
        <v>1199</v>
      </c>
      <c r="B1109" s="123"/>
      <c r="C1109" s="123"/>
      <c r="D1109" s="123"/>
      <c r="E1109" s="123"/>
      <c r="F1109" s="123"/>
      <c r="G1109" s="127" t="s">
        <v>210</v>
      </c>
      <c r="H1109" s="128">
        <v>2013</v>
      </c>
      <c r="I1109" s="128" t="s">
        <v>1850</v>
      </c>
      <c r="J1109" s="128">
        <f t="shared" si="34"/>
        <v>3</v>
      </c>
      <c r="K1109" s="128" t="s">
        <v>2410</v>
      </c>
      <c r="L1109" s="128" t="s">
        <v>30</v>
      </c>
      <c r="M1109" s="129" t="s">
        <v>31</v>
      </c>
      <c r="N1109" s="129" t="s">
        <v>28</v>
      </c>
      <c r="O1109" s="129" t="s">
        <v>28</v>
      </c>
      <c r="P1109" s="129" t="str">
        <f t="shared" si="35"/>
        <v>N/A</v>
      </c>
      <c r="Q1109" s="128" t="s">
        <v>2411</v>
      </c>
      <c r="R1109" s="128">
        <v>16.16</v>
      </c>
      <c r="S1109" s="130"/>
      <c r="T1109" s="130" t="s">
        <v>31</v>
      </c>
      <c r="U1109" s="152"/>
    </row>
    <row r="1110" spans="1:21" ht="15.75" hidden="1" thickBot="1">
      <c r="A1110" s="45">
        <v>1199</v>
      </c>
      <c r="B1110" s="123"/>
      <c r="C1110" s="123"/>
      <c r="D1110" s="123"/>
      <c r="E1110" s="123"/>
      <c r="F1110" s="123"/>
      <c r="G1110" s="127" t="s">
        <v>210</v>
      </c>
      <c r="H1110" s="128">
        <v>2013</v>
      </c>
      <c r="I1110" s="128" t="s">
        <v>1850</v>
      </c>
      <c r="J1110" s="128">
        <f t="shared" si="34"/>
        <v>3</v>
      </c>
      <c r="K1110" s="128" t="s">
        <v>221</v>
      </c>
      <c r="L1110" s="128" t="s">
        <v>40</v>
      </c>
      <c r="M1110" s="129" t="s">
        <v>34</v>
      </c>
      <c r="N1110" s="129" t="s">
        <v>32</v>
      </c>
      <c r="O1110" s="129" t="s">
        <v>28</v>
      </c>
      <c r="P1110" s="129" t="str">
        <f t="shared" si="35"/>
        <v>N/A</v>
      </c>
      <c r="Q1110" s="130"/>
      <c r="R1110" s="128">
        <v>80.42</v>
      </c>
      <c r="S1110" s="130"/>
      <c r="T1110" s="130"/>
      <c r="U1110" s="152"/>
    </row>
    <row r="1111" spans="1:21" ht="15.75" hidden="1" thickBot="1">
      <c r="A1111" s="45">
        <v>1199</v>
      </c>
      <c r="B1111" s="123"/>
      <c r="C1111" s="123"/>
      <c r="D1111" s="123"/>
      <c r="E1111" s="123"/>
      <c r="F1111" s="123"/>
      <c r="G1111" s="127" t="s">
        <v>210</v>
      </c>
      <c r="H1111" s="128">
        <v>2013</v>
      </c>
      <c r="I1111" s="128" t="s">
        <v>1850</v>
      </c>
      <c r="J1111" s="128">
        <f t="shared" si="34"/>
        <v>3</v>
      </c>
      <c r="K1111" s="128" t="s">
        <v>2412</v>
      </c>
      <c r="L1111" s="128" t="s">
        <v>30</v>
      </c>
      <c r="M1111" s="129" t="s">
        <v>1003</v>
      </c>
      <c r="N1111" s="129" t="s">
        <v>28</v>
      </c>
      <c r="O1111" s="129" t="s">
        <v>28</v>
      </c>
      <c r="P1111" s="129" t="str">
        <f t="shared" si="35"/>
        <v>N/A</v>
      </c>
      <c r="Q1111" s="128" t="s">
        <v>2413</v>
      </c>
      <c r="R1111" s="128">
        <v>2.5099999999999998</v>
      </c>
      <c r="S1111" s="130"/>
      <c r="T1111" s="130"/>
      <c r="U1111" s="152"/>
    </row>
    <row r="1112" spans="1:21" ht="15.75" hidden="1" thickBot="1">
      <c r="A1112" s="45">
        <v>1192</v>
      </c>
      <c r="B1112" s="123"/>
      <c r="C1112" s="123"/>
      <c r="D1112" s="123"/>
      <c r="E1112" s="123"/>
      <c r="F1112" s="123"/>
      <c r="G1112" s="127" t="s">
        <v>210</v>
      </c>
      <c r="H1112" s="128">
        <v>2014</v>
      </c>
      <c r="I1112" s="128" t="s">
        <v>1834</v>
      </c>
      <c r="J1112" s="128">
        <f t="shared" si="34"/>
        <v>2</v>
      </c>
      <c r="K1112" s="128" t="s">
        <v>2414</v>
      </c>
      <c r="L1112" s="128" t="s">
        <v>30</v>
      </c>
      <c r="M1112" s="129" t="s">
        <v>2415</v>
      </c>
      <c r="N1112" s="129" t="s">
        <v>28</v>
      </c>
      <c r="O1112" s="129" t="s">
        <v>28</v>
      </c>
      <c r="P1112" s="129" t="str">
        <f t="shared" si="35"/>
        <v>N/A</v>
      </c>
      <c r="Q1112" s="128" t="s">
        <v>2416</v>
      </c>
      <c r="R1112" s="128">
        <v>20.68</v>
      </c>
      <c r="S1112" s="130"/>
      <c r="T1112" s="130" t="s">
        <v>1069</v>
      </c>
      <c r="U1112" s="152"/>
    </row>
    <row r="1113" spans="1:21" ht="15.75" hidden="1" thickBot="1">
      <c r="A1113" s="45">
        <v>1192</v>
      </c>
      <c r="B1113" s="123"/>
      <c r="C1113" s="123"/>
      <c r="D1113" s="123"/>
      <c r="E1113" s="123"/>
      <c r="F1113" s="123"/>
      <c r="G1113" s="127" t="s">
        <v>210</v>
      </c>
      <c r="H1113" s="128">
        <v>2014</v>
      </c>
      <c r="I1113" s="128" t="s">
        <v>1834</v>
      </c>
      <c r="J1113" s="128">
        <f t="shared" si="34"/>
        <v>2</v>
      </c>
      <c r="K1113" s="128" t="s">
        <v>247</v>
      </c>
      <c r="L1113" s="128" t="s">
        <v>30</v>
      </c>
      <c r="M1113" s="129" t="s">
        <v>31</v>
      </c>
      <c r="N1113" s="129" t="s">
        <v>32</v>
      </c>
      <c r="O1113" s="129" t="s">
        <v>32</v>
      </c>
      <c r="P1113" s="129" t="str">
        <f t="shared" si="35"/>
        <v>Y</v>
      </c>
      <c r="Q1113" s="132" t="s">
        <v>2417</v>
      </c>
      <c r="R1113" s="128">
        <v>78.61</v>
      </c>
      <c r="S1113" s="130"/>
      <c r="T1113" s="130" t="s">
        <v>31</v>
      </c>
      <c r="U1113" s="152"/>
    </row>
    <row r="1114" spans="1:21" ht="15.75" hidden="1" thickBot="1">
      <c r="A1114" s="45">
        <v>1193</v>
      </c>
      <c r="B1114" s="123"/>
      <c r="C1114" s="123"/>
      <c r="D1114" s="123"/>
      <c r="E1114" s="123"/>
      <c r="F1114" s="123"/>
      <c r="G1114" s="127" t="s">
        <v>210</v>
      </c>
      <c r="H1114" s="128">
        <v>2014</v>
      </c>
      <c r="I1114" s="128" t="s">
        <v>1850</v>
      </c>
      <c r="J1114" s="128">
        <f t="shared" si="34"/>
        <v>1</v>
      </c>
      <c r="K1114" s="128" t="s">
        <v>221</v>
      </c>
      <c r="L1114" s="128" t="s">
        <v>40</v>
      </c>
      <c r="M1114" s="129" t="s">
        <v>34</v>
      </c>
      <c r="N1114" s="129" t="s">
        <v>32</v>
      </c>
      <c r="O1114" s="129" t="s">
        <v>32</v>
      </c>
      <c r="P1114" s="129" t="str">
        <f t="shared" si="35"/>
        <v>Y</v>
      </c>
      <c r="Q1114" s="132" t="s">
        <v>2418</v>
      </c>
      <c r="R1114" s="128">
        <v>96.7</v>
      </c>
      <c r="S1114" s="130"/>
      <c r="T1114" s="130" t="s">
        <v>998</v>
      </c>
      <c r="U1114" s="152"/>
    </row>
    <row r="1115" spans="1:21" ht="15.75" hidden="1" thickBot="1">
      <c r="A1115" s="45">
        <v>1194</v>
      </c>
      <c r="B1115" s="123"/>
      <c r="C1115" s="123"/>
      <c r="D1115" s="123"/>
      <c r="E1115" s="123"/>
      <c r="F1115" s="123"/>
      <c r="G1115" s="127" t="s">
        <v>210</v>
      </c>
      <c r="H1115" s="128">
        <v>2014</v>
      </c>
      <c r="I1115" s="128" t="s">
        <v>1878</v>
      </c>
      <c r="J1115" s="128">
        <f t="shared" si="34"/>
        <v>5</v>
      </c>
      <c r="K1115" s="128" t="s">
        <v>2419</v>
      </c>
      <c r="L1115" s="128" t="s">
        <v>30</v>
      </c>
      <c r="M1115" s="129" t="s">
        <v>31</v>
      </c>
      <c r="N1115" s="129" t="s">
        <v>28</v>
      </c>
      <c r="O1115" s="129" t="s">
        <v>28</v>
      </c>
      <c r="P1115" s="129" t="str">
        <f t="shared" si="35"/>
        <v>N/A</v>
      </c>
      <c r="Q1115" s="128" t="s">
        <v>2420</v>
      </c>
      <c r="R1115" s="128">
        <v>9.24</v>
      </c>
      <c r="S1115" s="130"/>
      <c r="T1115" s="130" t="s">
        <v>31</v>
      </c>
      <c r="U1115" s="152"/>
    </row>
    <row r="1116" spans="1:21" ht="15.75" hidden="1" thickBot="1">
      <c r="A1116" s="45">
        <v>1194</v>
      </c>
      <c r="B1116" s="123"/>
      <c r="C1116" s="123"/>
      <c r="D1116" s="123"/>
      <c r="E1116" s="123"/>
      <c r="F1116" s="123"/>
      <c r="G1116" s="127" t="s">
        <v>210</v>
      </c>
      <c r="H1116" s="128">
        <v>2014</v>
      </c>
      <c r="I1116" s="128" t="s">
        <v>1878</v>
      </c>
      <c r="J1116" s="128">
        <f t="shared" si="34"/>
        <v>5</v>
      </c>
      <c r="K1116" s="128" t="s">
        <v>2421</v>
      </c>
      <c r="L1116" s="128" t="s">
        <v>30</v>
      </c>
      <c r="M1116" s="129" t="s">
        <v>31</v>
      </c>
      <c r="N1116" s="129" t="s">
        <v>28</v>
      </c>
      <c r="O1116" s="129" t="s">
        <v>28</v>
      </c>
      <c r="P1116" s="129" t="str">
        <f t="shared" si="35"/>
        <v>N/A</v>
      </c>
      <c r="Q1116" s="128" t="s">
        <v>2422</v>
      </c>
      <c r="R1116" s="128">
        <v>11.14</v>
      </c>
      <c r="S1116" s="130"/>
      <c r="T1116" s="130" t="s">
        <v>31</v>
      </c>
      <c r="U1116" s="136"/>
    </row>
    <row r="1117" spans="1:21" ht="15.75" hidden="1" thickBot="1">
      <c r="A1117" s="45">
        <v>1194</v>
      </c>
      <c r="B1117" s="123"/>
      <c r="C1117" s="123"/>
      <c r="D1117" s="123"/>
      <c r="E1117" s="123"/>
      <c r="F1117" s="123"/>
      <c r="G1117" s="127" t="s">
        <v>210</v>
      </c>
      <c r="H1117" s="128">
        <v>2014</v>
      </c>
      <c r="I1117" s="128" t="s">
        <v>1878</v>
      </c>
      <c r="J1117" s="128">
        <f t="shared" si="34"/>
        <v>5</v>
      </c>
      <c r="K1117" s="128" t="s">
        <v>2423</v>
      </c>
      <c r="L1117" s="128" t="s">
        <v>30</v>
      </c>
      <c r="M1117" s="129" t="s">
        <v>31</v>
      </c>
      <c r="N1117" s="129" t="s">
        <v>28</v>
      </c>
      <c r="O1117" s="129" t="s">
        <v>28</v>
      </c>
      <c r="P1117" s="129" t="str">
        <f t="shared" si="35"/>
        <v>N/A</v>
      </c>
      <c r="Q1117" s="132" t="s">
        <v>2424</v>
      </c>
      <c r="R1117" s="128">
        <v>11.21</v>
      </c>
      <c r="S1117" s="130"/>
      <c r="T1117" s="130" t="s">
        <v>31</v>
      </c>
      <c r="U1117" s="136"/>
    </row>
    <row r="1118" spans="1:21" ht="15.75" hidden="1" thickBot="1">
      <c r="A1118" s="45">
        <v>1194</v>
      </c>
      <c r="B1118" s="123"/>
      <c r="C1118" s="123"/>
      <c r="D1118" s="123"/>
      <c r="E1118" s="123"/>
      <c r="F1118" s="123"/>
      <c r="G1118" s="127" t="s">
        <v>210</v>
      </c>
      <c r="H1118" s="128">
        <v>2014</v>
      </c>
      <c r="I1118" s="128" t="s">
        <v>1878</v>
      </c>
      <c r="J1118" s="128">
        <f t="shared" si="34"/>
        <v>5</v>
      </c>
      <c r="K1118" s="128" t="s">
        <v>2425</v>
      </c>
      <c r="L1118" s="128" t="s">
        <v>30</v>
      </c>
      <c r="M1118" s="129" t="s">
        <v>31</v>
      </c>
      <c r="N1118" s="129" t="s">
        <v>28</v>
      </c>
      <c r="O1118" s="129" t="s">
        <v>28</v>
      </c>
      <c r="P1118" s="129" t="str">
        <f t="shared" si="35"/>
        <v>N/A</v>
      </c>
      <c r="Q1118" s="128" t="s">
        <v>1004</v>
      </c>
      <c r="R1118" s="128">
        <v>0.08</v>
      </c>
      <c r="S1118" s="130"/>
      <c r="T1118" s="130" t="s">
        <v>31</v>
      </c>
      <c r="U1118" s="136"/>
    </row>
    <row r="1119" spans="1:21" ht="15.75" hidden="1" thickBot="1">
      <c r="A1119" s="45">
        <v>1194</v>
      </c>
      <c r="B1119" s="123"/>
      <c r="C1119" s="123"/>
      <c r="D1119" s="123"/>
      <c r="E1119" s="123"/>
      <c r="F1119" s="123"/>
      <c r="G1119" s="127" t="s">
        <v>210</v>
      </c>
      <c r="H1119" s="128">
        <v>2014</v>
      </c>
      <c r="I1119" s="128" t="s">
        <v>1878</v>
      </c>
      <c r="J1119" s="128">
        <f t="shared" si="34"/>
        <v>5</v>
      </c>
      <c r="K1119" s="128" t="s">
        <v>222</v>
      </c>
      <c r="L1119" s="128" t="s">
        <v>40</v>
      </c>
      <c r="M1119" s="129" t="s">
        <v>34</v>
      </c>
      <c r="N1119" s="129" t="s">
        <v>32</v>
      </c>
      <c r="O1119" s="129" t="s">
        <v>32</v>
      </c>
      <c r="P1119" s="129" t="str">
        <f t="shared" si="35"/>
        <v>Y</v>
      </c>
      <c r="Q1119" s="132" t="s">
        <v>2286</v>
      </c>
      <c r="R1119" s="128">
        <v>67.42</v>
      </c>
      <c r="S1119" s="130"/>
      <c r="T1119" s="130" t="s">
        <v>998</v>
      </c>
      <c r="U1119" s="136"/>
    </row>
    <row r="1120" spans="1:21" ht="15.75" hidden="1" thickBot="1">
      <c r="A1120" s="45">
        <v>1195</v>
      </c>
      <c r="B1120" s="123"/>
      <c r="C1120" s="123"/>
      <c r="D1120" s="123"/>
      <c r="E1120" s="123"/>
      <c r="F1120" s="123"/>
      <c r="G1120" s="127" t="s">
        <v>210</v>
      </c>
      <c r="H1120" s="128">
        <v>2014</v>
      </c>
      <c r="I1120" s="128" t="s">
        <v>1913</v>
      </c>
      <c r="J1120" s="128">
        <f t="shared" si="34"/>
        <v>5</v>
      </c>
      <c r="K1120" s="128" t="s">
        <v>2177</v>
      </c>
      <c r="L1120" s="128" t="s">
        <v>30</v>
      </c>
      <c r="M1120" s="129" t="s">
        <v>31</v>
      </c>
      <c r="N1120" s="129" t="s">
        <v>28</v>
      </c>
      <c r="O1120" s="129" t="s">
        <v>28</v>
      </c>
      <c r="P1120" s="129" t="str">
        <f t="shared" si="35"/>
        <v>N/A</v>
      </c>
      <c r="Q1120" s="128" t="s">
        <v>2178</v>
      </c>
      <c r="R1120" s="128">
        <v>4.66</v>
      </c>
      <c r="S1120" s="130"/>
      <c r="T1120" s="130" t="s">
        <v>31</v>
      </c>
      <c r="U1120" s="136"/>
    </row>
    <row r="1121" spans="1:21" ht="15.75" hidden="1" thickBot="1">
      <c r="A1121" s="45">
        <v>1195</v>
      </c>
      <c r="B1121" s="123"/>
      <c r="C1121" s="123"/>
      <c r="D1121" s="123"/>
      <c r="E1121" s="123"/>
      <c r="F1121" s="123"/>
      <c r="G1121" s="127" t="s">
        <v>210</v>
      </c>
      <c r="H1121" s="128">
        <v>2014</v>
      </c>
      <c r="I1121" s="128" t="s">
        <v>1913</v>
      </c>
      <c r="J1121" s="128">
        <f t="shared" si="34"/>
        <v>5</v>
      </c>
      <c r="K1121" s="128" t="s">
        <v>2426</v>
      </c>
      <c r="L1121" s="128" t="s">
        <v>30</v>
      </c>
      <c r="M1121" s="129" t="s">
        <v>31</v>
      </c>
      <c r="N1121" s="129" t="s">
        <v>28</v>
      </c>
      <c r="O1121" s="129" t="s">
        <v>28</v>
      </c>
      <c r="P1121" s="129" t="str">
        <f t="shared" si="35"/>
        <v>N/A</v>
      </c>
      <c r="Q1121" s="128" t="s">
        <v>2427</v>
      </c>
      <c r="R1121" s="128">
        <v>4.62</v>
      </c>
      <c r="S1121" s="130"/>
      <c r="T1121" s="130" t="s">
        <v>31</v>
      </c>
      <c r="U1121" s="136"/>
    </row>
    <row r="1122" spans="1:21" ht="15.75" hidden="1" thickBot="1">
      <c r="A1122" s="45">
        <v>1195</v>
      </c>
      <c r="B1122" s="123"/>
      <c r="C1122" s="123"/>
      <c r="D1122" s="123"/>
      <c r="E1122" s="123"/>
      <c r="F1122" s="123"/>
      <c r="G1122" s="127" t="s">
        <v>210</v>
      </c>
      <c r="H1122" s="128">
        <v>2014</v>
      </c>
      <c r="I1122" s="128" t="s">
        <v>1913</v>
      </c>
      <c r="J1122" s="128">
        <f t="shared" si="34"/>
        <v>5</v>
      </c>
      <c r="K1122" s="128" t="s">
        <v>2428</v>
      </c>
      <c r="L1122" s="128" t="s">
        <v>30</v>
      </c>
      <c r="M1122" s="129" t="s">
        <v>31</v>
      </c>
      <c r="N1122" s="129" t="s">
        <v>28</v>
      </c>
      <c r="O1122" s="129" t="s">
        <v>28</v>
      </c>
      <c r="P1122" s="129" t="str">
        <f t="shared" si="35"/>
        <v>N/A</v>
      </c>
      <c r="Q1122" s="128" t="s">
        <v>2429</v>
      </c>
      <c r="R1122" s="128">
        <v>6.81</v>
      </c>
      <c r="S1122" s="130"/>
      <c r="T1122" s="130" t="s">
        <v>31</v>
      </c>
      <c r="U1122" s="136"/>
    </row>
    <row r="1123" spans="1:21" ht="15.75" hidden="1" thickBot="1">
      <c r="A1123" s="45">
        <v>1195</v>
      </c>
      <c r="B1123" s="123"/>
      <c r="C1123" s="123"/>
      <c r="D1123" s="123"/>
      <c r="E1123" s="123"/>
      <c r="F1123" s="123"/>
      <c r="G1123" s="127" t="s">
        <v>210</v>
      </c>
      <c r="H1123" s="128">
        <v>2014</v>
      </c>
      <c r="I1123" s="128" t="s">
        <v>1913</v>
      </c>
      <c r="J1123" s="128">
        <f t="shared" si="34"/>
        <v>5</v>
      </c>
      <c r="K1123" s="128" t="s">
        <v>2430</v>
      </c>
      <c r="L1123" s="128" t="s">
        <v>30</v>
      </c>
      <c r="M1123" s="129" t="s">
        <v>1003</v>
      </c>
      <c r="N1123" s="129" t="s">
        <v>28</v>
      </c>
      <c r="O1123" s="129" t="s">
        <v>28</v>
      </c>
      <c r="P1123" s="129" t="str">
        <f t="shared" si="35"/>
        <v>N/A</v>
      </c>
      <c r="Q1123" s="130"/>
      <c r="R1123" s="128">
        <v>5.35</v>
      </c>
      <c r="S1123" s="130"/>
      <c r="T1123" s="130"/>
      <c r="U1123" s="136"/>
    </row>
    <row r="1124" spans="1:21" ht="15.75" hidden="1" thickBot="1">
      <c r="A1124" s="45">
        <v>1195</v>
      </c>
      <c r="B1124" s="123"/>
      <c r="C1124" s="123"/>
      <c r="D1124" s="123"/>
      <c r="E1124" s="123"/>
      <c r="F1124" s="123"/>
      <c r="G1124" s="127" t="s">
        <v>210</v>
      </c>
      <c r="H1124" s="128">
        <v>2014</v>
      </c>
      <c r="I1124" s="128" t="s">
        <v>1913</v>
      </c>
      <c r="J1124" s="128">
        <f t="shared" si="34"/>
        <v>5</v>
      </c>
      <c r="K1124" s="128" t="s">
        <v>223</v>
      </c>
      <c r="L1124" s="128" t="s">
        <v>30</v>
      </c>
      <c r="M1124" s="129" t="s">
        <v>31</v>
      </c>
      <c r="N1124" s="129" t="s">
        <v>32</v>
      </c>
      <c r="O1124" s="129" t="s">
        <v>32</v>
      </c>
      <c r="P1124" s="129" t="str">
        <f t="shared" si="35"/>
        <v>Y</v>
      </c>
      <c r="Q1124" s="132" t="s">
        <v>2431</v>
      </c>
      <c r="R1124" s="128">
        <v>77.67</v>
      </c>
      <c r="S1124" s="130"/>
      <c r="T1124" s="130" t="s">
        <v>31</v>
      </c>
      <c r="U1124" s="136"/>
    </row>
    <row r="1125" spans="1:21" ht="15.75" hidden="1" thickBot="1">
      <c r="A1125" s="45">
        <v>1196</v>
      </c>
      <c r="B1125" s="123"/>
      <c r="C1125" s="123"/>
      <c r="D1125" s="123"/>
      <c r="E1125" s="123"/>
      <c r="F1125" s="123"/>
      <c r="G1125" s="127" t="s">
        <v>210</v>
      </c>
      <c r="H1125" s="128">
        <v>2014</v>
      </c>
      <c r="I1125" s="128" t="s">
        <v>1926</v>
      </c>
      <c r="J1125" s="128">
        <f t="shared" si="34"/>
        <v>5</v>
      </c>
      <c r="K1125" s="128" t="s">
        <v>2308</v>
      </c>
      <c r="L1125" s="128" t="s">
        <v>30</v>
      </c>
      <c r="M1125" s="129" t="s">
        <v>201</v>
      </c>
      <c r="N1125" s="129" t="s">
        <v>28</v>
      </c>
      <c r="O1125" s="129" t="s">
        <v>28</v>
      </c>
      <c r="P1125" s="129" t="str">
        <f t="shared" si="35"/>
        <v>N/A</v>
      </c>
      <c r="Q1125" s="128" t="s">
        <v>2432</v>
      </c>
      <c r="R1125" s="128">
        <v>5.16</v>
      </c>
      <c r="S1125" s="128">
        <v>0</v>
      </c>
      <c r="T1125" s="130" t="s">
        <v>998</v>
      </c>
      <c r="U1125" s="136"/>
    </row>
    <row r="1126" spans="1:21" ht="15.75" hidden="1" thickBot="1">
      <c r="A1126" s="45">
        <v>1196</v>
      </c>
      <c r="B1126" s="123"/>
      <c r="C1126" s="123"/>
      <c r="D1126" s="123"/>
      <c r="E1126" s="123"/>
      <c r="F1126" s="123"/>
      <c r="G1126" s="127" t="s">
        <v>210</v>
      </c>
      <c r="H1126" s="128">
        <v>2014</v>
      </c>
      <c r="I1126" s="128" t="s">
        <v>1926</v>
      </c>
      <c r="J1126" s="128">
        <f t="shared" si="34"/>
        <v>5</v>
      </c>
      <c r="K1126" s="128" t="s">
        <v>2325</v>
      </c>
      <c r="L1126" s="128" t="s">
        <v>40</v>
      </c>
      <c r="M1126" s="149" t="s">
        <v>2433</v>
      </c>
      <c r="N1126" s="129" t="s">
        <v>28</v>
      </c>
      <c r="O1126" s="129" t="s">
        <v>28</v>
      </c>
      <c r="P1126" s="129" t="str">
        <f t="shared" si="35"/>
        <v>N/A</v>
      </c>
      <c r="Q1126" s="128" t="s">
        <v>2434</v>
      </c>
      <c r="R1126" s="128">
        <v>17.600000000000001</v>
      </c>
      <c r="S1126" s="128">
        <v>19.75</v>
      </c>
      <c r="T1126" s="130" t="s">
        <v>1015</v>
      </c>
      <c r="U1126" s="136"/>
    </row>
    <row r="1127" spans="1:21" ht="15.75" hidden="1" thickBot="1">
      <c r="A1127" s="45">
        <v>1196</v>
      </c>
      <c r="B1127" s="123"/>
      <c r="C1127" s="123"/>
      <c r="D1127" s="123"/>
      <c r="E1127" s="123"/>
      <c r="F1127" s="123"/>
      <c r="G1127" s="127" t="s">
        <v>210</v>
      </c>
      <c r="H1127" s="128">
        <v>2014</v>
      </c>
      <c r="I1127" s="128" t="s">
        <v>1926</v>
      </c>
      <c r="J1127" s="128">
        <f t="shared" si="34"/>
        <v>5</v>
      </c>
      <c r="K1127" s="128" t="s">
        <v>2435</v>
      </c>
      <c r="L1127" s="128" t="s">
        <v>30</v>
      </c>
      <c r="M1127" s="129" t="s">
        <v>201</v>
      </c>
      <c r="N1127" s="129" t="s">
        <v>28</v>
      </c>
      <c r="O1127" s="129" t="s">
        <v>28</v>
      </c>
      <c r="P1127" s="129" t="str">
        <f t="shared" si="35"/>
        <v>N/A</v>
      </c>
      <c r="Q1127" s="132" t="s">
        <v>2436</v>
      </c>
      <c r="R1127" s="128">
        <v>6.42</v>
      </c>
      <c r="S1127" s="128">
        <v>0</v>
      </c>
      <c r="T1127" s="130" t="s">
        <v>998</v>
      </c>
      <c r="U1127" s="136"/>
    </row>
    <row r="1128" spans="1:21" ht="15.75" hidden="1" thickBot="1">
      <c r="A1128" s="45">
        <v>1196</v>
      </c>
      <c r="B1128" s="123"/>
      <c r="C1128" s="123"/>
      <c r="D1128" s="123"/>
      <c r="E1128" s="123"/>
      <c r="F1128" s="123"/>
      <c r="G1128" s="127" t="s">
        <v>210</v>
      </c>
      <c r="H1128" s="128">
        <v>2014</v>
      </c>
      <c r="I1128" s="128" t="s">
        <v>1926</v>
      </c>
      <c r="J1128" s="128">
        <f t="shared" si="34"/>
        <v>5</v>
      </c>
      <c r="K1128" s="128" t="s">
        <v>2336</v>
      </c>
      <c r="L1128" s="128" t="s">
        <v>30</v>
      </c>
      <c r="M1128" s="129" t="s">
        <v>31</v>
      </c>
      <c r="N1128" s="129" t="s">
        <v>28</v>
      </c>
      <c r="O1128" s="129" t="s">
        <v>28</v>
      </c>
      <c r="P1128" s="129" t="str">
        <f t="shared" si="35"/>
        <v>N/A</v>
      </c>
      <c r="Q1128" s="132" t="s">
        <v>2437</v>
      </c>
      <c r="R1128" s="128">
        <v>24.01</v>
      </c>
      <c r="S1128" s="128">
        <v>28.54</v>
      </c>
      <c r="T1128" s="130" t="s">
        <v>31</v>
      </c>
      <c r="U1128" s="136"/>
    </row>
    <row r="1129" spans="1:21" ht="15.75" hidden="1" thickBot="1">
      <c r="A1129" s="45">
        <v>1196</v>
      </c>
      <c r="B1129" s="123"/>
      <c r="C1129" s="123"/>
      <c r="D1129" s="123"/>
      <c r="E1129" s="123"/>
      <c r="F1129" s="123"/>
      <c r="G1129" s="127" t="s">
        <v>210</v>
      </c>
      <c r="H1129" s="128">
        <v>2014</v>
      </c>
      <c r="I1129" s="128" t="s">
        <v>1926</v>
      </c>
      <c r="J1129" s="128">
        <f t="shared" si="34"/>
        <v>5</v>
      </c>
      <c r="K1129" s="128" t="s">
        <v>226</v>
      </c>
      <c r="L1129" s="128" t="s">
        <v>40</v>
      </c>
      <c r="M1129" s="129" t="s">
        <v>201</v>
      </c>
      <c r="N1129" s="129" t="s">
        <v>32</v>
      </c>
      <c r="O1129" s="129" t="s">
        <v>32</v>
      </c>
      <c r="P1129" s="129" t="str">
        <f t="shared" si="35"/>
        <v>Y</v>
      </c>
      <c r="Q1129" s="132" t="s">
        <v>2438</v>
      </c>
      <c r="R1129" s="128">
        <v>46.49</v>
      </c>
      <c r="S1129" s="128">
        <v>51.72</v>
      </c>
      <c r="T1129" s="130" t="s">
        <v>998</v>
      </c>
      <c r="U1129" s="136"/>
    </row>
    <row r="1130" spans="1:21" ht="15.75" thickBot="1">
      <c r="A1130" s="45">
        <v>1463</v>
      </c>
      <c r="B1130" s="123"/>
      <c r="C1130" s="123"/>
      <c r="D1130" s="123"/>
      <c r="E1130" s="123"/>
      <c r="F1130" s="123"/>
      <c r="G1130" s="46" t="s">
        <v>210</v>
      </c>
      <c r="H1130" s="122">
        <v>2015</v>
      </c>
      <c r="I1130" s="122" t="s">
        <v>2439</v>
      </c>
      <c r="J1130" s="128">
        <f t="shared" si="34"/>
        <v>1</v>
      </c>
      <c r="K1130" s="164"/>
      <c r="L1130" s="164"/>
      <c r="M1130" s="165"/>
      <c r="N1130" s="165"/>
      <c r="O1130" s="165"/>
      <c r="P1130" s="129" t="str">
        <f t="shared" si="35"/>
        <v/>
      </c>
      <c r="Q1130" s="164"/>
      <c r="R1130" s="164"/>
      <c r="S1130" s="164"/>
      <c r="T1130" s="164"/>
      <c r="U1130" s="123"/>
    </row>
    <row r="1131" spans="1:21" ht="15.75" thickBot="1">
      <c r="A1131" s="45">
        <v>1464</v>
      </c>
      <c r="B1131" s="123"/>
      <c r="C1131" s="123"/>
      <c r="D1131" s="123"/>
      <c r="E1131" s="123"/>
      <c r="F1131" s="123"/>
      <c r="G1131" s="46" t="s">
        <v>210</v>
      </c>
      <c r="H1131" s="122">
        <v>2015</v>
      </c>
      <c r="I1131" s="122" t="s">
        <v>124</v>
      </c>
      <c r="J1131" s="128">
        <f t="shared" si="34"/>
        <v>1</v>
      </c>
      <c r="K1131" s="164"/>
      <c r="L1131" s="164"/>
      <c r="M1131" s="165"/>
      <c r="N1131" s="165"/>
      <c r="O1131" s="165"/>
      <c r="P1131" s="129" t="str">
        <f t="shared" si="35"/>
        <v/>
      </c>
      <c r="Q1131" s="164"/>
      <c r="R1131" s="164"/>
      <c r="S1131" s="164"/>
      <c r="T1131" s="166"/>
      <c r="U1131" s="136"/>
    </row>
    <row r="1132" spans="1:21" ht="15.75" thickBot="1">
      <c r="A1132" s="45">
        <v>1465</v>
      </c>
      <c r="B1132" s="123"/>
      <c r="C1132" s="123"/>
      <c r="D1132" s="123"/>
      <c r="E1132" s="123"/>
      <c r="F1132" s="123"/>
      <c r="G1132" s="46" t="s">
        <v>210</v>
      </c>
      <c r="H1132" s="122">
        <v>2015</v>
      </c>
      <c r="I1132" s="122" t="s">
        <v>240</v>
      </c>
      <c r="J1132" s="128">
        <f t="shared" si="34"/>
        <v>1</v>
      </c>
      <c r="K1132" s="164"/>
      <c r="L1132" s="164"/>
      <c r="M1132" s="165"/>
      <c r="N1132" s="165"/>
      <c r="O1132" s="165"/>
      <c r="P1132" s="129" t="str">
        <f t="shared" si="35"/>
        <v/>
      </c>
      <c r="Q1132" s="164"/>
      <c r="R1132" s="164"/>
      <c r="S1132" s="164"/>
      <c r="T1132" s="164"/>
      <c r="U1132" s="123"/>
    </row>
    <row r="1133" spans="1:21" ht="15.75" thickBot="1">
      <c r="A1133" s="45">
        <v>1466</v>
      </c>
      <c r="B1133" s="123"/>
      <c r="C1133" s="123"/>
      <c r="D1133" s="123"/>
      <c r="E1133" s="123"/>
      <c r="F1133" s="123"/>
      <c r="G1133" s="46" t="s">
        <v>210</v>
      </c>
      <c r="H1133" s="122">
        <v>2015</v>
      </c>
      <c r="I1133" s="122" t="s">
        <v>38</v>
      </c>
      <c r="J1133" s="128">
        <f t="shared" si="34"/>
        <v>1</v>
      </c>
      <c r="K1133" s="164"/>
      <c r="L1133" s="164"/>
      <c r="M1133" s="165"/>
      <c r="N1133" s="165"/>
      <c r="O1133" s="165"/>
      <c r="P1133" s="129" t="str">
        <f t="shared" si="35"/>
        <v/>
      </c>
      <c r="Q1133" s="164"/>
      <c r="R1133" s="164"/>
      <c r="S1133" s="164"/>
      <c r="T1133" s="164"/>
      <c r="U1133" s="167"/>
    </row>
    <row r="1134" spans="1:21" ht="15.75" thickBot="1">
      <c r="A1134" s="45">
        <v>1467</v>
      </c>
      <c r="B1134" s="123"/>
      <c r="C1134" s="123"/>
      <c r="D1134" s="123"/>
      <c r="E1134" s="123"/>
      <c r="F1134" s="123"/>
      <c r="G1134" s="46" t="s">
        <v>210</v>
      </c>
      <c r="H1134" s="122">
        <v>2015</v>
      </c>
      <c r="I1134" s="122" t="s">
        <v>244</v>
      </c>
      <c r="J1134" s="128">
        <f t="shared" si="34"/>
        <v>1</v>
      </c>
      <c r="K1134" s="164"/>
      <c r="L1134" s="164"/>
      <c r="M1134" s="165"/>
      <c r="N1134" s="165"/>
      <c r="O1134" s="165"/>
      <c r="P1134" s="129" t="str">
        <f t="shared" si="35"/>
        <v/>
      </c>
      <c r="Q1134" s="164"/>
      <c r="R1134" s="164"/>
      <c r="S1134" s="164"/>
      <c r="T1134" s="164"/>
      <c r="U1134" s="123"/>
    </row>
    <row r="1135" spans="1:21" ht="15.75" thickBot="1">
      <c r="A1135" s="45">
        <v>1468</v>
      </c>
      <c r="B1135" s="123"/>
      <c r="C1135" s="123"/>
      <c r="D1135" s="123"/>
      <c r="E1135" s="123"/>
      <c r="F1135" s="123"/>
      <c r="G1135" s="46" t="s">
        <v>210</v>
      </c>
      <c r="H1135" s="122">
        <v>2015</v>
      </c>
      <c r="I1135" s="122" t="s">
        <v>230</v>
      </c>
      <c r="J1135" s="128">
        <f t="shared" si="34"/>
        <v>1</v>
      </c>
      <c r="K1135" s="164"/>
      <c r="L1135" s="164"/>
      <c r="M1135" s="165"/>
      <c r="N1135" s="165"/>
      <c r="O1135" s="165"/>
      <c r="P1135" s="129" t="str">
        <f t="shared" si="35"/>
        <v/>
      </c>
      <c r="Q1135" s="164"/>
      <c r="R1135" s="164"/>
      <c r="S1135" s="164"/>
      <c r="T1135" s="164"/>
      <c r="U1135" s="123"/>
    </row>
    <row r="1136" spans="1:21" ht="15.75" thickBot="1">
      <c r="A1136" s="45" t="s">
        <v>2440</v>
      </c>
      <c r="B1136" s="123"/>
      <c r="C1136" s="123"/>
      <c r="D1136" s="123"/>
      <c r="E1136" s="123"/>
      <c r="F1136" s="123"/>
      <c r="G1136" s="127" t="s">
        <v>292</v>
      </c>
      <c r="H1136" s="128">
        <v>1992</v>
      </c>
      <c r="I1136" s="128" t="s">
        <v>306</v>
      </c>
      <c r="J1136" s="128">
        <f t="shared" si="34"/>
        <v>2</v>
      </c>
      <c r="K1136" s="128" t="s">
        <v>2441</v>
      </c>
      <c r="L1136" s="128" t="s">
        <v>30</v>
      </c>
      <c r="M1136" s="129" t="s">
        <v>31</v>
      </c>
      <c r="N1136" s="129" t="s">
        <v>32</v>
      </c>
      <c r="O1136" s="129"/>
      <c r="P1136" s="129" t="str">
        <f t="shared" si="35"/>
        <v/>
      </c>
      <c r="Q1136" s="128" t="s">
        <v>2442</v>
      </c>
      <c r="R1136" s="128">
        <v>59.7</v>
      </c>
      <c r="S1136" s="130"/>
      <c r="T1136" s="130"/>
      <c r="U1136" s="131"/>
    </row>
    <row r="1137" spans="1:21" ht="15.75" thickBot="1">
      <c r="A1137" s="45" t="s">
        <v>2440</v>
      </c>
      <c r="B1137" s="123"/>
      <c r="C1137" s="123"/>
      <c r="D1137" s="123"/>
      <c r="E1137" s="123"/>
      <c r="F1137" s="123"/>
      <c r="G1137" s="127" t="s">
        <v>292</v>
      </c>
      <c r="H1137" s="128">
        <v>1992</v>
      </c>
      <c r="I1137" s="128" t="s">
        <v>306</v>
      </c>
      <c r="J1137" s="128">
        <f t="shared" si="34"/>
        <v>2</v>
      </c>
      <c r="K1137" s="128" t="s">
        <v>2443</v>
      </c>
      <c r="L1137" s="128" t="s">
        <v>30</v>
      </c>
      <c r="M1137" s="129" t="s">
        <v>31</v>
      </c>
      <c r="N1137" s="129" t="s">
        <v>28</v>
      </c>
      <c r="O1137" s="129"/>
      <c r="P1137" s="129" t="str">
        <f t="shared" si="35"/>
        <v/>
      </c>
      <c r="Q1137" s="128" t="s">
        <v>1004</v>
      </c>
      <c r="R1137" s="128">
        <v>40.299999999999997</v>
      </c>
      <c r="S1137" s="130"/>
      <c r="T1137" s="130"/>
      <c r="U1137" s="131"/>
    </row>
    <row r="1138" spans="1:21" ht="15.75" thickBot="1">
      <c r="A1138" s="45" t="s">
        <v>2444</v>
      </c>
      <c r="B1138" s="123"/>
      <c r="C1138" s="123"/>
      <c r="D1138" s="123"/>
      <c r="E1138" s="123"/>
      <c r="F1138" s="123"/>
      <c r="G1138" s="127" t="s">
        <v>292</v>
      </c>
      <c r="H1138" s="128">
        <v>1992</v>
      </c>
      <c r="I1138" s="128" t="s">
        <v>91</v>
      </c>
      <c r="J1138" s="128">
        <f t="shared" si="34"/>
        <v>3</v>
      </c>
      <c r="K1138" s="128" t="s">
        <v>327</v>
      </c>
      <c r="L1138" s="128" t="s">
        <v>40</v>
      </c>
      <c r="M1138" s="129" t="s">
        <v>31</v>
      </c>
      <c r="N1138" s="129" t="s">
        <v>32</v>
      </c>
      <c r="O1138" s="129"/>
      <c r="P1138" s="129" t="str">
        <f t="shared" si="35"/>
        <v/>
      </c>
      <c r="Q1138" s="130"/>
      <c r="R1138" s="128">
        <v>43.9</v>
      </c>
      <c r="S1138" s="128">
        <v>61.4</v>
      </c>
      <c r="T1138" s="130" t="s">
        <v>31</v>
      </c>
      <c r="U1138" s="131"/>
    </row>
    <row r="1139" spans="1:21" ht="15.75" thickBot="1">
      <c r="A1139" s="45" t="s">
        <v>2444</v>
      </c>
      <c r="B1139" s="123"/>
      <c r="C1139" s="123"/>
      <c r="D1139" s="123"/>
      <c r="E1139" s="123"/>
      <c r="F1139" s="123"/>
      <c r="G1139" s="127" t="s">
        <v>292</v>
      </c>
      <c r="H1139" s="128">
        <v>1992</v>
      </c>
      <c r="I1139" s="128" t="s">
        <v>91</v>
      </c>
      <c r="J1139" s="128">
        <f t="shared" si="34"/>
        <v>3</v>
      </c>
      <c r="K1139" s="128" t="s">
        <v>2445</v>
      </c>
      <c r="L1139" s="128" t="s">
        <v>40</v>
      </c>
      <c r="M1139" s="129" t="s">
        <v>31</v>
      </c>
      <c r="N1139" s="129" t="s">
        <v>28</v>
      </c>
      <c r="O1139" s="129"/>
      <c r="P1139" s="129" t="str">
        <f t="shared" si="35"/>
        <v/>
      </c>
      <c r="Q1139" s="128" t="s">
        <v>2446</v>
      </c>
      <c r="R1139" s="128">
        <v>41.5</v>
      </c>
      <c r="S1139" s="128">
        <v>38.6</v>
      </c>
      <c r="T1139" s="130"/>
      <c r="U1139" s="131"/>
    </row>
    <row r="1140" spans="1:21" ht="15.75" thickBot="1">
      <c r="A1140" s="45" t="s">
        <v>2444</v>
      </c>
      <c r="B1140" s="123"/>
      <c r="C1140" s="123"/>
      <c r="D1140" s="123"/>
      <c r="E1140" s="123"/>
      <c r="F1140" s="123"/>
      <c r="G1140" s="127" t="s">
        <v>292</v>
      </c>
      <c r="H1140" s="128">
        <v>1992</v>
      </c>
      <c r="I1140" s="128" t="s">
        <v>91</v>
      </c>
      <c r="J1140" s="128">
        <f t="shared" si="34"/>
        <v>3</v>
      </c>
      <c r="K1140" s="128" t="s">
        <v>2447</v>
      </c>
      <c r="L1140" s="128" t="s">
        <v>30</v>
      </c>
      <c r="M1140" s="129" t="s">
        <v>1003</v>
      </c>
      <c r="N1140" s="129" t="s">
        <v>28</v>
      </c>
      <c r="O1140" s="129"/>
      <c r="P1140" s="129" t="str">
        <f t="shared" si="35"/>
        <v/>
      </c>
      <c r="Q1140" s="128" t="s">
        <v>1004</v>
      </c>
      <c r="R1140" s="128">
        <v>14.6</v>
      </c>
      <c r="S1140" s="130"/>
      <c r="T1140" s="130" t="s">
        <v>1015</v>
      </c>
      <c r="U1140" s="131"/>
    </row>
    <row r="1141" spans="1:21" ht="15.75" thickBot="1">
      <c r="A1141" s="45" t="s">
        <v>2448</v>
      </c>
      <c r="B1141" s="123"/>
      <c r="C1141" s="123"/>
      <c r="D1141" s="123"/>
      <c r="E1141" s="123"/>
      <c r="F1141" s="123"/>
      <c r="G1141" s="127" t="s">
        <v>292</v>
      </c>
      <c r="H1141" s="128">
        <v>1992</v>
      </c>
      <c r="I1141" s="128" t="s">
        <v>79</v>
      </c>
      <c r="J1141" s="128">
        <f t="shared" si="34"/>
        <v>6</v>
      </c>
      <c r="K1141" s="128" t="s">
        <v>2449</v>
      </c>
      <c r="L1141" s="128" t="s">
        <v>30</v>
      </c>
      <c r="M1141" s="129" t="s">
        <v>34</v>
      </c>
      <c r="N1141" s="129" t="s">
        <v>28</v>
      </c>
      <c r="O1141" s="129"/>
      <c r="P1141" s="129" t="str">
        <f t="shared" si="35"/>
        <v/>
      </c>
      <c r="Q1141" s="128" t="s">
        <v>2450</v>
      </c>
      <c r="R1141" s="128">
        <v>12.6</v>
      </c>
      <c r="S1141" s="130"/>
      <c r="T1141" s="130" t="s">
        <v>1069</v>
      </c>
      <c r="U1141" s="131"/>
    </row>
    <row r="1142" spans="1:21" ht="15.75" thickBot="1">
      <c r="A1142" s="45" t="s">
        <v>2448</v>
      </c>
      <c r="B1142" s="123"/>
      <c r="C1142" s="123"/>
      <c r="D1142" s="123"/>
      <c r="E1142" s="123"/>
      <c r="F1142" s="123"/>
      <c r="G1142" s="127" t="s">
        <v>292</v>
      </c>
      <c r="H1142" s="128">
        <v>1992</v>
      </c>
      <c r="I1142" s="128" t="s">
        <v>79</v>
      </c>
      <c r="J1142" s="128">
        <f t="shared" si="34"/>
        <v>6</v>
      </c>
      <c r="K1142" s="128" t="s">
        <v>2451</v>
      </c>
      <c r="L1142" s="128" t="s">
        <v>30</v>
      </c>
      <c r="M1142" s="129" t="s">
        <v>34</v>
      </c>
      <c r="N1142" s="129" t="s">
        <v>28</v>
      </c>
      <c r="O1142" s="129"/>
      <c r="P1142" s="129" t="str">
        <f t="shared" si="35"/>
        <v/>
      </c>
      <c r="Q1142" s="128" t="s">
        <v>2452</v>
      </c>
      <c r="R1142" s="128">
        <v>20.399999999999999</v>
      </c>
      <c r="S1142" s="128">
        <v>41</v>
      </c>
      <c r="T1142" s="130"/>
      <c r="U1142" s="131"/>
    </row>
    <row r="1143" spans="1:21" ht="15.75" thickBot="1">
      <c r="A1143" s="45" t="s">
        <v>2448</v>
      </c>
      <c r="B1143" s="123"/>
      <c r="C1143" s="123"/>
      <c r="D1143" s="123"/>
      <c r="E1143" s="123"/>
      <c r="F1143" s="123"/>
      <c r="G1143" s="127" t="s">
        <v>292</v>
      </c>
      <c r="H1143" s="128">
        <v>1992</v>
      </c>
      <c r="I1143" s="128" t="s">
        <v>79</v>
      </c>
      <c r="J1143" s="128">
        <f t="shared" si="34"/>
        <v>6</v>
      </c>
      <c r="K1143" s="128" t="s">
        <v>2453</v>
      </c>
      <c r="L1143" s="128" t="s">
        <v>30</v>
      </c>
      <c r="M1143" s="129" t="s">
        <v>1003</v>
      </c>
      <c r="N1143" s="129" t="s">
        <v>28</v>
      </c>
      <c r="O1143" s="129"/>
      <c r="P1143" s="129" t="str">
        <f t="shared" si="35"/>
        <v/>
      </c>
      <c r="Q1143" s="128" t="s">
        <v>1004</v>
      </c>
      <c r="R1143" s="128">
        <v>15.6</v>
      </c>
      <c r="S1143" s="130"/>
      <c r="T1143" s="130"/>
      <c r="U1143" s="131"/>
    </row>
    <row r="1144" spans="1:21" ht="15.75" thickBot="1">
      <c r="A1144" s="45" t="s">
        <v>2448</v>
      </c>
      <c r="B1144" s="123"/>
      <c r="C1144" s="123"/>
      <c r="D1144" s="123"/>
      <c r="E1144" s="123"/>
      <c r="F1144" s="123"/>
      <c r="G1144" s="127" t="s">
        <v>292</v>
      </c>
      <c r="H1144" s="128">
        <v>1992</v>
      </c>
      <c r="I1144" s="128" t="s">
        <v>79</v>
      </c>
      <c r="J1144" s="128">
        <f t="shared" si="34"/>
        <v>6</v>
      </c>
      <c r="K1144" s="128" t="s">
        <v>2454</v>
      </c>
      <c r="L1144" s="128" t="s">
        <v>30</v>
      </c>
      <c r="M1144" s="129" t="s">
        <v>1003</v>
      </c>
      <c r="N1144" s="129" t="s">
        <v>28</v>
      </c>
      <c r="O1144" s="129"/>
      <c r="P1144" s="129" t="str">
        <f t="shared" si="35"/>
        <v/>
      </c>
      <c r="Q1144" s="128" t="s">
        <v>1004</v>
      </c>
      <c r="R1144" s="128">
        <v>5.9</v>
      </c>
      <c r="S1144" s="130"/>
      <c r="T1144" s="130"/>
      <c r="U1144" s="131"/>
    </row>
    <row r="1145" spans="1:21" ht="15.75" thickBot="1">
      <c r="A1145" s="45" t="s">
        <v>2448</v>
      </c>
      <c r="B1145" s="123"/>
      <c r="C1145" s="123"/>
      <c r="D1145" s="123"/>
      <c r="E1145" s="123"/>
      <c r="F1145" s="123"/>
      <c r="G1145" s="127" t="s">
        <v>292</v>
      </c>
      <c r="H1145" s="128">
        <v>1992</v>
      </c>
      <c r="I1145" s="128" t="s">
        <v>79</v>
      </c>
      <c r="J1145" s="128">
        <f t="shared" si="34"/>
        <v>6</v>
      </c>
      <c r="K1145" s="128" t="s">
        <v>2455</v>
      </c>
      <c r="L1145" s="128" t="s">
        <v>40</v>
      </c>
      <c r="M1145" s="129" t="s">
        <v>31</v>
      </c>
      <c r="N1145" s="129" t="s">
        <v>28</v>
      </c>
      <c r="O1145" s="129"/>
      <c r="P1145" s="129" t="str">
        <f t="shared" si="35"/>
        <v/>
      </c>
      <c r="Q1145" s="130"/>
      <c r="R1145" s="128">
        <v>10.6</v>
      </c>
      <c r="S1145" s="130"/>
      <c r="T1145" s="130"/>
      <c r="U1145" s="131"/>
    </row>
    <row r="1146" spans="1:21" ht="15.75" thickBot="1">
      <c r="A1146" s="45" t="s">
        <v>2448</v>
      </c>
      <c r="B1146" s="123"/>
      <c r="C1146" s="123"/>
      <c r="D1146" s="123"/>
      <c r="E1146" s="123"/>
      <c r="F1146" s="123"/>
      <c r="G1146" s="127" t="s">
        <v>292</v>
      </c>
      <c r="H1146" s="128">
        <v>1992</v>
      </c>
      <c r="I1146" s="128" t="s">
        <v>79</v>
      </c>
      <c r="J1146" s="128">
        <f t="shared" si="34"/>
        <v>6</v>
      </c>
      <c r="K1146" s="128" t="s">
        <v>328</v>
      </c>
      <c r="L1146" s="128" t="s">
        <v>40</v>
      </c>
      <c r="M1146" s="129" t="s">
        <v>31</v>
      </c>
      <c r="N1146" s="129" t="s">
        <v>32</v>
      </c>
      <c r="O1146" s="129"/>
      <c r="P1146" s="129" t="str">
        <f t="shared" si="35"/>
        <v/>
      </c>
      <c r="Q1146" s="130"/>
      <c r="R1146" s="128">
        <v>35</v>
      </c>
      <c r="S1146" s="128">
        <v>59</v>
      </c>
      <c r="T1146" s="130"/>
      <c r="U1146" s="131"/>
    </row>
    <row r="1147" spans="1:21" ht="15.75" thickBot="1">
      <c r="A1147" s="45" t="s">
        <v>2456</v>
      </c>
      <c r="B1147" s="123"/>
      <c r="C1147" s="123"/>
      <c r="D1147" s="123"/>
      <c r="E1147" s="123"/>
      <c r="F1147" s="123"/>
      <c r="G1147" s="127" t="s">
        <v>292</v>
      </c>
      <c r="H1147" s="128">
        <v>1992</v>
      </c>
      <c r="I1147" s="128" t="s">
        <v>100</v>
      </c>
      <c r="J1147" s="128">
        <f t="shared" si="34"/>
        <v>4</v>
      </c>
      <c r="K1147" s="128" t="s">
        <v>2457</v>
      </c>
      <c r="L1147" s="128" t="s">
        <v>30</v>
      </c>
      <c r="M1147" s="129" t="s">
        <v>1003</v>
      </c>
      <c r="N1147" s="129" t="s">
        <v>28</v>
      </c>
      <c r="O1147" s="129"/>
      <c r="P1147" s="129" t="str">
        <f t="shared" si="35"/>
        <v/>
      </c>
      <c r="Q1147" s="128" t="s">
        <v>1004</v>
      </c>
      <c r="R1147" s="128">
        <v>8.6999999999999993</v>
      </c>
      <c r="S1147" s="130"/>
      <c r="T1147" s="130"/>
      <c r="U1147" s="131"/>
    </row>
    <row r="1148" spans="1:21" ht="15.75" thickBot="1">
      <c r="A1148" s="45" t="s">
        <v>2456</v>
      </c>
      <c r="B1148" s="123"/>
      <c r="C1148" s="123"/>
      <c r="D1148" s="123"/>
      <c r="E1148" s="123"/>
      <c r="F1148" s="123"/>
      <c r="G1148" s="127" t="s">
        <v>292</v>
      </c>
      <c r="H1148" s="128">
        <v>1992</v>
      </c>
      <c r="I1148" s="128" t="s">
        <v>100</v>
      </c>
      <c r="J1148" s="128">
        <f t="shared" si="34"/>
        <v>4</v>
      </c>
      <c r="K1148" s="128" t="s">
        <v>2458</v>
      </c>
      <c r="L1148" s="128" t="s">
        <v>40</v>
      </c>
      <c r="M1148" s="129" t="s">
        <v>34</v>
      </c>
      <c r="N1148" s="129" t="s">
        <v>28</v>
      </c>
      <c r="O1148" s="129"/>
      <c r="P1148" s="129" t="str">
        <f t="shared" si="35"/>
        <v/>
      </c>
      <c r="Q1148" s="130"/>
      <c r="R1148" s="128">
        <v>23.1</v>
      </c>
      <c r="S1148" s="130"/>
      <c r="T1148" s="130"/>
      <c r="U1148" s="131"/>
    </row>
    <row r="1149" spans="1:21" ht="15.75" thickBot="1">
      <c r="A1149" s="45" t="s">
        <v>2456</v>
      </c>
      <c r="B1149" s="123"/>
      <c r="C1149" s="123"/>
      <c r="D1149" s="123"/>
      <c r="E1149" s="123"/>
      <c r="F1149" s="123"/>
      <c r="G1149" s="127" t="s">
        <v>292</v>
      </c>
      <c r="H1149" s="128">
        <v>1992</v>
      </c>
      <c r="I1149" s="128" t="s">
        <v>100</v>
      </c>
      <c r="J1149" s="128">
        <f t="shared" si="34"/>
        <v>4</v>
      </c>
      <c r="K1149" s="128" t="s">
        <v>329</v>
      </c>
      <c r="L1149" s="128" t="s">
        <v>30</v>
      </c>
      <c r="M1149" s="129" t="s">
        <v>31</v>
      </c>
      <c r="N1149" s="129" t="s">
        <v>32</v>
      </c>
      <c r="O1149" s="129"/>
      <c r="P1149" s="129" t="str">
        <f t="shared" si="35"/>
        <v/>
      </c>
      <c r="Q1149" s="130"/>
      <c r="R1149" s="128">
        <v>53</v>
      </c>
      <c r="S1149" s="130"/>
      <c r="T1149" s="130"/>
      <c r="U1149" s="131"/>
    </row>
    <row r="1150" spans="1:21" ht="15.75" thickBot="1">
      <c r="A1150" s="45" t="s">
        <v>2456</v>
      </c>
      <c r="B1150" s="123"/>
      <c r="C1150" s="123"/>
      <c r="D1150" s="123"/>
      <c r="E1150" s="123"/>
      <c r="F1150" s="123"/>
      <c r="G1150" s="127" t="s">
        <v>292</v>
      </c>
      <c r="H1150" s="128">
        <v>1992</v>
      </c>
      <c r="I1150" s="128" t="s">
        <v>100</v>
      </c>
      <c r="J1150" s="128">
        <f t="shared" si="34"/>
        <v>4</v>
      </c>
      <c r="K1150" s="128" t="s">
        <v>2459</v>
      </c>
      <c r="L1150" s="128" t="s">
        <v>30</v>
      </c>
      <c r="M1150" s="129" t="s">
        <v>1003</v>
      </c>
      <c r="N1150" s="129" t="s">
        <v>28</v>
      </c>
      <c r="O1150" s="129"/>
      <c r="P1150" s="129" t="str">
        <f t="shared" si="35"/>
        <v/>
      </c>
      <c r="Q1150" s="128" t="s">
        <v>1004</v>
      </c>
      <c r="R1150" s="128">
        <v>15.2</v>
      </c>
      <c r="S1150" s="130"/>
      <c r="T1150" s="130"/>
      <c r="U1150" s="131"/>
    </row>
    <row r="1151" spans="1:21" ht="15.75" thickBot="1">
      <c r="A1151" s="45" t="s">
        <v>2460</v>
      </c>
      <c r="B1151" s="123"/>
      <c r="C1151" s="123"/>
      <c r="D1151" s="123"/>
      <c r="E1151" s="123"/>
      <c r="F1151" s="123"/>
      <c r="G1151" s="127" t="s">
        <v>292</v>
      </c>
      <c r="H1151" s="128">
        <v>1992</v>
      </c>
      <c r="I1151" s="128" t="s">
        <v>85</v>
      </c>
      <c r="J1151" s="128">
        <f t="shared" si="34"/>
        <v>6</v>
      </c>
      <c r="K1151" s="128" t="s">
        <v>2461</v>
      </c>
      <c r="L1151" s="128" t="s">
        <v>30</v>
      </c>
      <c r="M1151" s="129" t="s">
        <v>31</v>
      </c>
      <c r="N1151" s="129" t="s">
        <v>28</v>
      </c>
      <c r="O1151" s="129"/>
      <c r="P1151" s="129" t="str">
        <f t="shared" si="35"/>
        <v/>
      </c>
      <c r="Q1151" s="128" t="s">
        <v>1004</v>
      </c>
      <c r="R1151" s="128">
        <v>9</v>
      </c>
      <c r="S1151" s="130"/>
      <c r="T1151" s="130" t="s">
        <v>31</v>
      </c>
      <c r="U1151" s="131"/>
    </row>
    <row r="1152" spans="1:21" ht="15.75" thickBot="1">
      <c r="A1152" s="45" t="s">
        <v>2460</v>
      </c>
      <c r="B1152" s="123"/>
      <c r="C1152" s="123"/>
      <c r="D1152" s="123"/>
      <c r="E1152" s="123"/>
      <c r="F1152" s="123"/>
      <c r="G1152" s="127" t="s">
        <v>292</v>
      </c>
      <c r="H1152" s="128">
        <v>1992</v>
      </c>
      <c r="I1152" s="128" t="s">
        <v>85</v>
      </c>
      <c r="J1152" s="128">
        <f t="shared" si="34"/>
        <v>6</v>
      </c>
      <c r="K1152" s="128" t="s">
        <v>2462</v>
      </c>
      <c r="L1152" s="128" t="s">
        <v>30</v>
      </c>
      <c r="M1152" s="129" t="s">
        <v>1003</v>
      </c>
      <c r="N1152" s="129" t="s">
        <v>28</v>
      </c>
      <c r="O1152" s="129"/>
      <c r="P1152" s="129" t="str">
        <f t="shared" si="35"/>
        <v/>
      </c>
      <c r="Q1152" s="128" t="s">
        <v>1004</v>
      </c>
      <c r="R1152" s="128">
        <v>19.100000000000001</v>
      </c>
      <c r="S1152" s="130"/>
      <c r="T1152" s="130"/>
      <c r="U1152" s="131"/>
    </row>
    <row r="1153" spans="1:21" ht="15.75" thickBot="1">
      <c r="A1153" s="45" t="s">
        <v>2460</v>
      </c>
      <c r="B1153" s="123"/>
      <c r="C1153" s="123"/>
      <c r="D1153" s="123"/>
      <c r="E1153" s="123"/>
      <c r="F1153" s="123"/>
      <c r="G1153" s="127" t="s">
        <v>292</v>
      </c>
      <c r="H1153" s="128">
        <v>1992</v>
      </c>
      <c r="I1153" s="128" t="s">
        <v>85</v>
      </c>
      <c r="J1153" s="128">
        <f t="shared" si="34"/>
        <v>6</v>
      </c>
      <c r="K1153" s="128" t="s">
        <v>2463</v>
      </c>
      <c r="L1153" s="128" t="s">
        <v>40</v>
      </c>
      <c r="M1153" s="129" t="s">
        <v>1003</v>
      </c>
      <c r="N1153" s="129" t="s">
        <v>32</v>
      </c>
      <c r="O1153" s="129"/>
      <c r="P1153" s="129" t="str">
        <f t="shared" si="35"/>
        <v/>
      </c>
      <c r="Q1153" s="128" t="s">
        <v>1004</v>
      </c>
      <c r="R1153" s="128">
        <v>23.5</v>
      </c>
      <c r="S1153" s="128">
        <v>56.1</v>
      </c>
      <c r="T1153" s="130"/>
      <c r="U1153" s="131"/>
    </row>
    <row r="1154" spans="1:21" ht="15.75" thickBot="1">
      <c r="A1154" s="45" t="s">
        <v>2460</v>
      </c>
      <c r="B1154" s="123"/>
      <c r="C1154" s="123"/>
      <c r="D1154" s="123"/>
      <c r="E1154" s="123"/>
      <c r="F1154" s="123"/>
      <c r="G1154" s="127" t="s">
        <v>292</v>
      </c>
      <c r="H1154" s="128">
        <v>1992</v>
      </c>
      <c r="I1154" s="128" t="s">
        <v>85</v>
      </c>
      <c r="J1154" s="128">
        <f t="shared" ref="J1154:J1217" si="36">COUNTIF(A$2:A$2215, A1154)</f>
        <v>6</v>
      </c>
      <c r="K1154" s="128" t="s">
        <v>2464</v>
      </c>
      <c r="L1154" s="128" t="s">
        <v>30</v>
      </c>
      <c r="M1154" s="129" t="s">
        <v>31</v>
      </c>
      <c r="N1154" s="129" t="s">
        <v>28</v>
      </c>
      <c r="O1154" s="129"/>
      <c r="P1154" s="129" t="str">
        <f t="shared" si="35"/>
        <v/>
      </c>
      <c r="Q1154" s="128" t="s">
        <v>1004</v>
      </c>
      <c r="R1154" s="128">
        <v>3.9</v>
      </c>
      <c r="S1154" s="130"/>
      <c r="T1154" s="130"/>
      <c r="U1154" s="131"/>
    </row>
    <row r="1155" spans="1:21" ht="15.75" thickBot="1">
      <c r="A1155" s="45" t="s">
        <v>2460</v>
      </c>
      <c r="B1155" s="123"/>
      <c r="C1155" s="123"/>
      <c r="D1155" s="123"/>
      <c r="E1155" s="123"/>
      <c r="F1155" s="123"/>
      <c r="G1155" s="127" t="s">
        <v>292</v>
      </c>
      <c r="H1155" s="128">
        <v>1992</v>
      </c>
      <c r="I1155" s="128" t="s">
        <v>85</v>
      </c>
      <c r="J1155" s="128">
        <f t="shared" si="36"/>
        <v>6</v>
      </c>
      <c r="K1155" s="128" t="s">
        <v>2465</v>
      </c>
      <c r="L1155" s="128" t="s">
        <v>40</v>
      </c>
      <c r="M1155" s="129" t="s">
        <v>1065</v>
      </c>
      <c r="N1155" s="129" t="s">
        <v>28</v>
      </c>
      <c r="O1155" s="129"/>
      <c r="P1155" s="129" t="str">
        <f t="shared" ref="P1155:P1218" si="37">IF(O1155="N", "N/A", IF(AND(N1155="N",  O1155="Y"), "N", IF(AND(O1155="Y", N1155="Y"), "Y", "")))</f>
        <v/>
      </c>
      <c r="Q1155" s="130"/>
      <c r="R1155" s="128">
        <v>27.6</v>
      </c>
      <c r="S1155" s="128">
        <v>43.9</v>
      </c>
      <c r="T1155" s="130"/>
      <c r="U1155" s="131"/>
    </row>
    <row r="1156" spans="1:21" ht="15.75" thickBot="1">
      <c r="A1156" s="45" t="s">
        <v>2460</v>
      </c>
      <c r="B1156" s="123"/>
      <c r="C1156" s="123"/>
      <c r="D1156" s="123"/>
      <c r="E1156" s="123"/>
      <c r="F1156" s="123"/>
      <c r="G1156" s="127" t="s">
        <v>292</v>
      </c>
      <c r="H1156" s="128">
        <v>1992</v>
      </c>
      <c r="I1156" s="128" t="s">
        <v>85</v>
      </c>
      <c r="J1156" s="128">
        <f t="shared" si="36"/>
        <v>6</v>
      </c>
      <c r="K1156" s="128" t="s">
        <v>2466</v>
      </c>
      <c r="L1156" s="128" t="s">
        <v>30</v>
      </c>
      <c r="M1156" s="129" t="s">
        <v>31</v>
      </c>
      <c r="N1156" s="129" t="s">
        <v>28</v>
      </c>
      <c r="O1156" s="129"/>
      <c r="P1156" s="129" t="str">
        <f t="shared" si="37"/>
        <v/>
      </c>
      <c r="Q1156" s="128" t="s">
        <v>1004</v>
      </c>
      <c r="R1156" s="128">
        <v>16.899999999999999</v>
      </c>
      <c r="S1156" s="130"/>
      <c r="T1156" s="130"/>
      <c r="U1156" s="131"/>
    </row>
    <row r="1157" spans="1:21" ht="15.75" thickBot="1">
      <c r="A1157" s="45" t="s">
        <v>2467</v>
      </c>
      <c r="B1157" s="123"/>
      <c r="C1157" s="123"/>
      <c r="D1157" s="123"/>
      <c r="E1157" s="123"/>
      <c r="F1157" s="123"/>
      <c r="G1157" s="127" t="s">
        <v>292</v>
      </c>
      <c r="H1157" s="128">
        <v>1994</v>
      </c>
      <c r="I1157" s="128" t="s">
        <v>76</v>
      </c>
      <c r="J1157" s="128">
        <f t="shared" si="36"/>
        <v>1</v>
      </c>
      <c r="K1157" s="128" t="s">
        <v>2468</v>
      </c>
      <c r="L1157" s="128" t="s">
        <v>40</v>
      </c>
      <c r="M1157" s="129" t="s">
        <v>31</v>
      </c>
      <c r="N1157" s="129" t="s">
        <v>32</v>
      </c>
      <c r="O1157" s="129"/>
      <c r="P1157" s="129" t="str">
        <f t="shared" si="37"/>
        <v/>
      </c>
      <c r="Q1157" s="128" t="s">
        <v>2469</v>
      </c>
      <c r="R1157" s="128">
        <v>100</v>
      </c>
      <c r="S1157" s="130"/>
      <c r="T1157" s="130"/>
      <c r="U1157" s="131"/>
    </row>
    <row r="1158" spans="1:21" ht="15.75" thickBot="1">
      <c r="A1158" s="45" t="s">
        <v>2470</v>
      </c>
      <c r="B1158" s="123"/>
      <c r="C1158" s="123"/>
      <c r="D1158" s="123"/>
      <c r="E1158" s="123"/>
      <c r="F1158" s="123"/>
      <c r="G1158" s="127" t="s">
        <v>292</v>
      </c>
      <c r="H1158" s="128">
        <v>1994</v>
      </c>
      <c r="I1158" s="128" t="s">
        <v>94</v>
      </c>
      <c r="J1158" s="128">
        <f t="shared" si="36"/>
        <v>4</v>
      </c>
      <c r="K1158" s="128" t="s">
        <v>2471</v>
      </c>
      <c r="L1158" s="128" t="s">
        <v>30</v>
      </c>
      <c r="M1158" s="129" t="s">
        <v>31</v>
      </c>
      <c r="N1158" s="129" t="s">
        <v>32</v>
      </c>
      <c r="O1158" s="129"/>
      <c r="P1158" s="129" t="str">
        <f t="shared" si="37"/>
        <v/>
      </c>
      <c r="Q1158" s="130"/>
      <c r="R1158" s="128">
        <v>69.3</v>
      </c>
      <c r="S1158" s="130"/>
      <c r="T1158" s="130"/>
      <c r="U1158" s="131"/>
    </row>
    <row r="1159" spans="1:21" ht="15.75" thickBot="1">
      <c r="A1159" s="45" t="s">
        <v>2470</v>
      </c>
      <c r="B1159" s="123"/>
      <c r="C1159" s="123"/>
      <c r="D1159" s="123"/>
      <c r="E1159" s="123"/>
      <c r="F1159" s="123"/>
      <c r="G1159" s="127" t="s">
        <v>292</v>
      </c>
      <c r="H1159" s="128">
        <v>1994</v>
      </c>
      <c r="I1159" s="128" t="s">
        <v>94</v>
      </c>
      <c r="J1159" s="128">
        <f t="shared" si="36"/>
        <v>4</v>
      </c>
      <c r="K1159" s="128" t="s">
        <v>2472</v>
      </c>
      <c r="L1159" s="128" t="s">
        <v>30</v>
      </c>
      <c r="M1159" s="129" t="s">
        <v>174</v>
      </c>
      <c r="N1159" s="129" t="s">
        <v>28</v>
      </c>
      <c r="O1159" s="129"/>
      <c r="P1159" s="129" t="str">
        <f t="shared" si="37"/>
        <v/>
      </c>
      <c r="Q1159" s="130"/>
      <c r="R1159" s="128">
        <v>6.1</v>
      </c>
      <c r="S1159" s="130"/>
      <c r="T1159" s="130"/>
      <c r="U1159" s="131"/>
    </row>
    <row r="1160" spans="1:21" ht="15.75" thickBot="1">
      <c r="A1160" s="45" t="s">
        <v>2470</v>
      </c>
      <c r="B1160" s="123"/>
      <c r="C1160" s="123"/>
      <c r="D1160" s="123"/>
      <c r="E1160" s="123"/>
      <c r="F1160" s="123"/>
      <c r="G1160" s="127" t="s">
        <v>292</v>
      </c>
      <c r="H1160" s="128">
        <v>1994</v>
      </c>
      <c r="I1160" s="128" t="s">
        <v>94</v>
      </c>
      <c r="J1160" s="128">
        <f t="shared" si="36"/>
        <v>4</v>
      </c>
      <c r="K1160" s="128" t="s">
        <v>2473</v>
      </c>
      <c r="L1160" s="128" t="s">
        <v>30</v>
      </c>
      <c r="M1160" s="129" t="s">
        <v>1003</v>
      </c>
      <c r="N1160" s="129" t="s">
        <v>28</v>
      </c>
      <c r="O1160" s="129"/>
      <c r="P1160" s="129" t="str">
        <f t="shared" si="37"/>
        <v/>
      </c>
      <c r="Q1160" s="128" t="s">
        <v>1004</v>
      </c>
      <c r="R1160" s="128">
        <v>4.3</v>
      </c>
      <c r="S1160" s="130"/>
      <c r="T1160" s="130" t="s">
        <v>31</v>
      </c>
      <c r="U1160" s="131"/>
    </row>
    <row r="1161" spans="1:21" ht="15.75" thickBot="1">
      <c r="A1161" s="45" t="s">
        <v>2470</v>
      </c>
      <c r="B1161" s="123"/>
      <c r="C1161" s="123"/>
      <c r="D1161" s="123"/>
      <c r="E1161" s="123"/>
      <c r="F1161" s="123"/>
      <c r="G1161" s="127" t="s">
        <v>292</v>
      </c>
      <c r="H1161" s="128">
        <v>1994</v>
      </c>
      <c r="I1161" s="128" t="s">
        <v>94</v>
      </c>
      <c r="J1161" s="128">
        <f t="shared" si="36"/>
        <v>4</v>
      </c>
      <c r="K1161" s="128" t="s">
        <v>2474</v>
      </c>
      <c r="L1161" s="128" t="s">
        <v>30</v>
      </c>
      <c r="M1161" s="129" t="s">
        <v>31</v>
      </c>
      <c r="N1161" s="129" t="s">
        <v>28</v>
      </c>
      <c r="O1161" s="129"/>
      <c r="P1161" s="129" t="str">
        <f t="shared" si="37"/>
        <v/>
      </c>
      <c r="Q1161" s="130"/>
      <c r="R1161" s="128">
        <v>20.3</v>
      </c>
      <c r="S1161" s="130"/>
      <c r="T1161" s="130"/>
      <c r="U1161" s="131"/>
    </row>
    <row r="1162" spans="1:21" ht="15.75" thickBot="1">
      <c r="A1162" s="45" t="s">
        <v>2475</v>
      </c>
      <c r="B1162" s="123"/>
      <c r="C1162" s="123"/>
      <c r="D1162" s="123"/>
      <c r="E1162" s="123"/>
      <c r="F1162" s="123"/>
      <c r="G1162" s="127" t="s">
        <v>292</v>
      </c>
      <c r="H1162" s="128">
        <v>1994</v>
      </c>
      <c r="I1162" s="128" t="s">
        <v>97</v>
      </c>
      <c r="J1162" s="128">
        <f t="shared" si="36"/>
        <v>3</v>
      </c>
      <c r="K1162" s="128" t="s">
        <v>2476</v>
      </c>
      <c r="L1162" s="128" t="s">
        <v>30</v>
      </c>
      <c r="M1162" s="129" t="s">
        <v>1003</v>
      </c>
      <c r="N1162" s="129" t="s">
        <v>28</v>
      </c>
      <c r="O1162" s="129"/>
      <c r="P1162" s="129" t="str">
        <f t="shared" si="37"/>
        <v/>
      </c>
      <c r="Q1162" s="128" t="s">
        <v>1004</v>
      </c>
      <c r="R1162" s="128">
        <v>10.6</v>
      </c>
      <c r="S1162" s="130"/>
      <c r="T1162" s="130"/>
      <c r="U1162" s="131"/>
    </row>
    <row r="1163" spans="1:21" ht="15.75" thickBot="1">
      <c r="A1163" s="45" t="s">
        <v>2475</v>
      </c>
      <c r="B1163" s="123"/>
      <c r="C1163" s="123"/>
      <c r="D1163" s="123"/>
      <c r="E1163" s="123"/>
      <c r="F1163" s="123"/>
      <c r="G1163" s="127" t="s">
        <v>292</v>
      </c>
      <c r="H1163" s="128">
        <v>1994</v>
      </c>
      <c r="I1163" s="128" t="s">
        <v>97</v>
      </c>
      <c r="J1163" s="128">
        <f t="shared" si="36"/>
        <v>3</v>
      </c>
      <c r="K1163" s="128" t="s">
        <v>324</v>
      </c>
      <c r="L1163" s="128" t="s">
        <v>30</v>
      </c>
      <c r="M1163" s="129" t="s">
        <v>1065</v>
      </c>
      <c r="N1163" s="129" t="s">
        <v>32</v>
      </c>
      <c r="O1163" s="129"/>
      <c r="P1163" s="129" t="str">
        <f t="shared" si="37"/>
        <v/>
      </c>
      <c r="Q1163" s="130"/>
      <c r="R1163" s="128">
        <v>43.6</v>
      </c>
      <c r="S1163" s="128">
        <v>55.2</v>
      </c>
      <c r="T1163" s="130"/>
      <c r="U1163" s="131"/>
    </row>
    <row r="1164" spans="1:21" ht="15.75" thickBot="1">
      <c r="A1164" s="45" t="s">
        <v>2475</v>
      </c>
      <c r="B1164" s="123"/>
      <c r="C1164" s="123"/>
      <c r="D1164" s="123"/>
      <c r="E1164" s="123"/>
      <c r="F1164" s="123"/>
      <c r="G1164" s="127" t="s">
        <v>292</v>
      </c>
      <c r="H1164" s="128">
        <v>1994</v>
      </c>
      <c r="I1164" s="128" t="s">
        <v>97</v>
      </c>
      <c r="J1164" s="128">
        <f t="shared" si="36"/>
        <v>3</v>
      </c>
      <c r="K1164" s="128" t="s">
        <v>2477</v>
      </c>
      <c r="L1164" s="128" t="s">
        <v>30</v>
      </c>
      <c r="M1164" s="129" t="s">
        <v>1065</v>
      </c>
      <c r="N1164" s="129" t="s">
        <v>28</v>
      </c>
      <c r="O1164" s="129"/>
      <c r="P1164" s="129" t="str">
        <f t="shared" si="37"/>
        <v/>
      </c>
      <c r="Q1164" s="128" t="s">
        <v>2478</v>
      </c>
      <c r="R1164" s="128">
        <v>45.8</v>
      </c>
      <c r="S1164" s="128">
        <v>44.8</v>
      </c>
      <c r="T1164" s="130"/>
      <c r="U1164" s="131"/>
    </row>
    <row r="1165" spans="1:21" ht="15.75" hidden="1" thickBot="1">
      <c r="A1165" s="45" t="s">
        <v>2479</v>
      </c>
      <c r="B1165" s="123"/>
      <c r="C1165" s="123"/>
      <c r="D1165" s="123"/>
      <c r="E1165" s="123"/>
      <c r="F1165" s="123"/>
      <c r="G1165" s="127" t="s">
        <v>292</v>
      </c>
      <c r="H1165" s="128">
        <v>1994</v>
      </c>
      <c r="I1165" s="128" t="s">
        <v>82</v>
      </c>
      <c r="J1165" s="128">
        <f t="shared" si="36"/>
        <v>4</v>
      </c>
      <c r="K1165" s="128" t="s">
        <v>2480</v>
      </c>
      <c r="L1165" s="128" t="s">
        <v>30</v>
      </c>
      <c r="M1165" s="129" t="s">
        <v>1003</v>
      </c>
      <c r="N1165" s="129" t="s">
        <v>28</v>
      </c>
      <c r="O1165" s="129" t="s">
        <v>28</v>
      </c>
      <c r="P1165" s="129" t="str">
        <f t="shared" si="37"/>
        <v>N/A</v>
      </c>
      <c r="Q1165" s="128" t="s">
        <v>1004</v>
      </c>
      <c r="R1165" s="130"/>
      <c r="S1165" s="128">
        <v>17.2</v>
      </c>
      <c r="T1165" s="130"/>
      <c r="U1165" s="131"/>
    </row>
    <row r="1166" spans="1:21" ht="15.75" thickBot="1">
      <c r="A1166" s="45" t="s">
        <v>2479</v>
      </c>
      <c r="B1166" s="123"/>
      <c r="C1166" s="123"/>
      <c r="D1166" s="123"/>
      <c r="E1166" s="123"/>
      <c r="F1166" s="123"/>
      <c r="G1166" s="127" t="s">
        <v>292</v>
      </c>
      <c r="H1166" s="128">
        <v>1994</v>
      </c>
      <c r="I1166" s="128" t="s">
        <v>82</v>
      </c>
      <c r="J1166" s="128">
        <f t="shared" si="36"/>
        <v>4</v>
      </c>
      <c r="K1166" s="128" t="s">
        <v>2481</v>
      </c>
      <c r="L1166" s="128" t="s">
        <v>40</v>
      </c>
      <c r="M1166" s="129" t="s">
        <v>31</v>
      </c>
      <c r="N1166" s="129" t="s">
        <v>28</v>
      </c>
      <c r="O1166" s="129"/>
      <c r="P1166" s="129" t="str">
        <f t="shared" si="37"/>
        <v/>
      </c>
      <c r="Q1166" s="128" t="s">
        <v>2482</v>
      </c>
      <c r="R1166" s="128">
        <v>19.7</v>
      </c>
      <c r="S1166" s="128">
        <v>19.7</v>
      </c>
      <c r="T1166" s="130" t="s">
        <v>998</v>
      </c>
      <c r="U1166" s="131"/>
    </row>
    <row r="1167" spans="1:21" ht="15.75" thickBot="1">
      <c r="A1167" s="45" t="s">
        <v>2479</v>
      </c>
      <c r="B1167" s="123"/>
      <c r="C1167" s="123"/>
      <c r="D1167" s="123"/>
      <c r="E1167" s="123"/>
      <c r="F1167" s="123"/>
      <c r="G1167" s="127" t="s">
        <v>292</v>
      </c>
      <c r="H1167" s="128">
        <v>1994</v>
      </c>
      <c r="I1167" s="128" t="s">
        <v>82</v>
      </c>
      <c r="J1167" s="128">
        <f t="shared" si="36"/>
        <v>4</v>
      </c>
      <c r="K1167" s="128" t="s">
        <v>325</v>
      </c>
      <c r="L1167" s="128" t="s">
        <v>30</v>
      </c>
      <c r="M1167" s="129" t="s">
        <v>34</v>
      </c>
      <c r="N1167" s="129" t="s">
        <v>32</v>
      </c>
      <c r="O1167" s="129"/>
      <c r="P1167" s="129" t="str">
        <f t="shared" si="37"/>
        <v/>
      </c>
      <c r="Q1167" s="130"/>
      <c r="R1167" s="128">
        <v>62.1</v>
      </c>
      <c r="S1167" s="128">
        <v>63.1</v>
      </c>
      <c r="T1167" s="130"/>
      <c r="U1167" s="131"/>
    </row>
    <row r="1168" spans="1:21" ht="15.75" thickBot="1">
      <c r="A1168" s="45" t="s">
        <v>2479</v>
      </c>
      <c r="B1168" s="123"/>
      <c r="C1168" s="123"/>
      <c r="D1168" s="123"/>
      <c r="E1168" s="123"/>
      <c r="F1168" s="123"/>
      <c r="G1168" s="127" t="s">
        <v>292</v>
      </c>
      <c r="H1168" s="128">
        <v>1994</v>
      </c>
      <c r="I1168" s="128" t="s">
        <v>82</v>
      </c>
      <c r="J1168" s="128">
        <f t="shared" si="36"/>
        <v>4</v>
      </c>
      <c r="K1168" s="128" t="s">
        <v>2483</v>
      </c>
      <c r="L1168" s="128" t="s">
        <v>30</v>
      </c>
      <c r="M1168" s="129" t="s">
        <v>1003</v>
      </c>
      <c r="N1168" s="129" t="s">
        <v>28</v>
      </c>
      <c r="O1168" s="129"/>
      <c r="P1168" s="129" t="str">
        <f t="shared" si="37"/>
        <v/>
      </c>
      <c r="Q1168" s="128" t="s">
        <v>1004</v>
      </c>
      <c r="R1168" s="128">
        <v>18.2</v>
      </c>
      <c r="S1168" s="130"/>
      <c r="T1168" s="130"/>
      <c r="U1168" s="131"/>
    </row>
    <row r="1169" spans="1:21" ht="15.75" thickBot="1">
      <c r="A1169" s="45" t="s">
        <v>2484</v>
      </c>
      <c r="B1169" s="123"/>
      <c r="C1169" s="123"/>
      <c r="D1169" s="123"/>
      <c r="E1169" s="123"/>
      <c r="F1169" s="123"/>
      <c r="G1169" s="127" t="s">
        <v>292</v>
      </c>
      <c r="H1169" s="128">
        <v>1994</v>
      </c>
      <c r="I1169" s="128" t="s">
        <v>300</v>
      </c>
      <c r="J1169" s="128">
        <f t="shared" si="36"/>
        <v>4</v>
      </c>
      <c r="K1169" s="128" t="s">
        <v>2485</v>
      </c>
      <c r="L1169" s="128" t="s">
        <v>30</v>
      </c>
      <c r="M1169" s="129" t="s">
        <v>31</v>
      </c>
      <c r="N1169" s="129" t="s">
        <v>28</v>
      </c>
      <c r="O1169" s="129"/>
      <c r="P1169" s="129" t="str">
        <f t="shared" si="37"/>
        <v/>
      </c>
      <c r="Q1169" s="128" t="s">
        <v>2486</v>
      </c>
      <c r="R1169" s="128">
        <v>3.9</v>
      </c>
      <c r="S1169" s="130"/>
      <c r="T1169" s="130"/>
      <c r="U1169" s="131"/>
    </row>
    <row r="1170" spans="1:21" ht="15.75" thickBot="1">
      <c r="A1170" s="45" t="s">
        <v>2484</v>
      </c>
      <c r="B1170" s="123"/>
      <c r="C1170" s="123"/>
      <c r="D1170" s="123"/>
      <c r="E1170" s="123"/>
      <c r="F1170" s="123"/>
      <c r="G1170" s="127" t="s">
        <v>292</v>
      </c>
      <c r="H1170" s="128">
        <v>1994</v>
      </c>
      <c r="I1170" s="128" t="s">
        <v>300</v>
      </c>
      <c r="J1170" s="128">
        <f t="shared" si="36"/>
        <v>4</v>
      </c>
      <c r="K1170" s="128" t="s">
        <v>326</v>
      </c>
      <c r="L1170" s="128" t="s">
        <v>30</v>
      </c>
      <c r="M1170" s="129" t="s">
        <v>31</v>
      </c>
      <c r="N1170" s="129" t="s">
        <v>32</v>
      </c>
      <c r="O1170" s="129"/>
      <c r="P1170" s="129" t="str">
        <f t="shared" si="37"/>
        <v/>
      </c>
      <c r="Q1170" s="130"/>
      <c r="R1170" s="128">
        <v>39.299999999999997</v>
      </c>
      <c r="S1170" s="128">
        <v>58.7</v>
      </c>
      <c r="T1170" s="130"/>
      <c r="U1170" s="131"/>
    </row>
    <row r="1171" spans="1:21" ht="15.75" thickBot="1">
      <c r="A1171" s="45" t="s">
        <v>2484</v>
      </c>
      <c r="B1171" s="123"/>
      <c r="C1171" s="123"/>
      <c r="D1171" s="123"/>
      <c r="E1171" s="123"/>
      <c r="F1171" s="123"/>
      <c r="G1171" s="127" t="s">
        <v>292</v>
      </c>
      <c r="H1171" s="128">
        <v>1994</v>
      </c>
      <c r="I1171" s="128" t="s">
        <v>300</v>
      </c>
      <c r="J1171" s="128">
        <f t="shared" si="36"/>
        <v>4</v>
      </c>
      <c r="K1171" s="128" t="s">
        <v>2487</v>
      </c>
      <c r="L1171" s="128" t="s">
        <v>40</v>
      </c>
      <c r="M1171" s="129" t="s">
        <v>31</v>
      </c>
      <c r="N1171" s="129" t="s">
        <v>28</v>
      </c>
      <c r="O1171" s="129"/>
      <c r="P1171" s="129" t="str">
        <f t="shared" si="37"/>
        <v/>
      </c>
      <c r="Q1171" s="128" t="s">
        <v>2488</v>
      </c>
      <c r="R1171" s="128">
        <v>31.7</v>
      </c>
      <c r="S1171" s="128">
        <v>41.3</v>
      </c>
      <c r="T1171" s="130" t="s">
        <v>31</v>
      </c>
      <c r="U1171" s="131"/>
    </row>
    <row r="1172" spans="1:21" ht="15.75" thickBot="1">
      <c r="A1172" s="45" t="s">
        <v>2484</v>
      </c>
      <c r="B1172" s="123"/>
      <c r="C1172" s="123"/>
      <c r="D1172" s="123"/>
      <c r="E1172" s="123"/>
      <c r="F1172" s="123"/>
      <c r="G1172" s="127" t="s">
        <v>292</v>
      </c>
      <c r="H1172" s="128">
        <v>1994</v>
      </c>
      <c r="I1172" s="128" t="s">
        <v>300</v>
      </c>
      <c r="J1172" s="128">
        <f t="shared" si="36"/>
        <v>4</v>
      </c>
      <c r="K1172" s="128" t="s">
        <v>2489</v>
      </c>
      <c r="L1172" s="128" t="s">
        <v>30</v>
      </c>
      <c r="M1172" s="129" t="s">
        <v>1003</v>
      </c>
      <c r="N1172" s="129" t="s">
        <v>28</v>
      </c>
      <c r="O1172" s="129"/>
      <c r="P1172" s="129" t="str">
        <f t="shared" si="37"/>
        <v/>
      </c>
      <c r="Q1172" s="128" t="s">
        <v>1004</v>
      </c>
      <c r="R1172" s="128">
        <v>25.2</v>
      </c>
      <c r="S1172" s="130"/>
      <c r="T1172" s="130"/>
      <c r="U1172" s="131"/>
    </row>
    <row r="1173" spans="1:21" ht="15.75" hidden="1" thickBot="1">
      <c r="A1173" s="45" t="s">
        <v>2490</v>
      </c>
      <c r="B1173" s="123"/>
      <c r="C1173" s="123"/>
      <c r="D1173" s="123"/>
      <c r="E1173" s="123"/>
      <c r="F1173" s="123"/>
      <c r="G1173" s="127" t="s">
        <v>292</v>
      </c>
      <c r="H1173" s="128">
        <v>1994</v>
      </c>
      <c r="I1173" s="128" t="s">
        <v>38</v>
      </c>
      <c r="J1173" s="128">
        <f t="shared" si="36"/>
        <v>4</v>
      </c>
      <c r="K1173" s="128" t="s">
        <v>2480</v>
      </c>
      <c r="L1173" s="128" t="s">
        <v>30</v>
      </c>
      <c r="M1173" s="129" t="s">
        <v>1003</v>
      </c>
      <c r="N1173" s="129" t="s">
        <v>28</v>
      </c>
      <c r="O1173" s="129" t="s">
        <v>28</v>
      </c>
      <c r="P1173" s="129" t="str">
        <f t="shared" si="37"/>
        <v>N/A</v>
      </c>
      <c r="Q1173" s="128" t="s">
        <v>1004</v>
      </c>
      <c r="R1173" s="128">
        <v>8.1</v>
      </c>
      <c r="S1173" s="130"/>
      <c r="T1173" s="130"/>
      <c r="U1173" s="123"/>
    </row>
    <row r="1174" spans="1:21" ht="15.75" hidden="1" thickBot="1">
      <c r="A1174" s="45" t="s">
        <v>2490</v>
      </c>
      <c r="B1174" s="123"/>
      <c r="C1174" s="123"/>
      <c r="D1174" s="123"/>
      <c r="E1174" s="123"/>
      <c r="F1174" s="123"/>
      <c r="G1174" s="127" t="s">
        <v>292</v>
      </c>
      <c r="H1174" s="128">
        <v>1994</v>
      </c>
      <c r="I1174" s="128" t="s">
        <v>38</v>
      </c>
      <c r="J1174" s="128">
        <f t="shared" si="36"/>
        <v>4</v>
      </c>
      <c r="K1174" s="128" t="s">
        <v>2491</v>
      </c>
      <c r="L1174" s="128" t="s">
        <v>30</v>
      </c>
      <c r="M1174" s="129" t="s">
        <v>174</v>
      </c>
      <c r="N1174" s="129" t="s">
        <v>28</v>
      </c>
      <c r="O1174" s="129" t="s">
        <v>28</v>
      </c>
      <c r="P1174" s="129" t="str">
        <f t="shared" si="37"/>
        <v>N/A</v>
      </c>
      <c r="Q1174" s="130"/>
      <c r="R1174" s="128">
        <v>6.5</v>
      </c>
      <c r="S1174" s="130"/>
      <c r="T1174" s="130" t="s">
        <v>31</v>
      </c>
      <c r="U1174" s="123" t="s">
        <v>2492</v>
      </c>
    </row>
    <row r="1175" spans="1:21" ht="15.75" thickBot="1">
      <c r="A1175" s="45" t="s">
        <v>2490</v>
      </c>
      <c r="B1175" s="123"/>
      <c r="C1175" s="123"/>
      <c r="D1175" s="123"/>
      <c r="E1175" s="123"/>
      <c r="F1175" s="123"/>
      <c r="G1175" s="127" t="s">
        <v>292</v>
      </c>
      <c r="H1175" s="128">
        <v>1994</v>
      </c>
      <c r="I1175" s="128" t="s">
        <v>38</v>
      </c>
      <c r="J1175" s="128">
        <f t="shared" si="36"/>
        <v>4</v>
      </c>
      <c r="K1175" s="128" t="s">
        <v>2493</v>
      </c>
      <c r="L1175" s="128" t="s">
        <v>40</v>
      </c>
      <c r="M1175" s="129" t="s">
        <v>1065</v>
      </c>
      <c r="N1175" s="129" t="s">
        <v>28</v>
      </c>
      <c r="O1175" s="129"/>
      <c r="P1175" s="129" t="str">
        <f t="shared" si="37"/>
        <v/>
      </c>
      <c r="Q1175" s="130"/>
      <c r="R1175" s="128">
        <v>27.6</v>
      </c>
      <c r="S1175" s="130"/>
      <c r="T1175" s="130" t="s">
        <v>31</v>
      </c>
      <c r="U1175" s="131"/>
    </row>
    <row r="1176" spans="1:21" ht="15.75" thickBot="1">
      <c r="A1176" s="45" t="s">
        <v>2490</v>
      </c>
      <c r="B1176" s="123"/>
      <c r="C1176" s="123"/>
      <c r="D1176" s="123"/>
      <c r="E1176" s="123"/>
      <c r="F1176" s="123"/>
      <c r="G1176" s="127" t="s">
        <v>292</v>
      </c>
      <c r="H1176" s="128">
        <v>1994</v>
      </c>
      <c r="I1176" s="128" t="s">
        <v>38</v>
      </c>
      <c r="J1176" s="128">
        <f t="shared" si="36"/>
        <v>4</v>
      </c>
      <c r="K1176" s="128" t="s">
        <v>2494</v>
      </c>
      <c r="L1176" s="128" t="s">
        <v>40</v>
      </c>
      <c r="M1176" s="129" t="s">
        <v>31</v>
      </c>
      <c r="N1176" s="129" t="s">
        <v>32</v>
      </c>
      <c r="O1176" s="129"/>
      <c r="P1176" s="129" t="str">
        <f t="shared" si="37"/>
        <v/>
      </c>
      <c r="Q1176" s="130"/>
      <c r="R1176" s="128">
        <v>57.8</v>
      </c>
      <c r="S1176" s="130"/>
      <c r="T1176" s="130"/>
      <c r="U1176" s="131"/>
    </row>
    <row r="1177" spans="1:21" ht="15.75" thickBot="1">
      <c r="A1177" s="45">
        <v>1346</v>
      </c>
      <c r="B1177" s="123"/>
      <c r="C1177" s="123"/>
      <c r="D1177" s="123"/>
      <c r="E1177" s="123"/>
      <c r="F1177" s="123"/>
      <c r="G1177" s="127" t="s">
        <v>292</v>
      </c>
      <c r="H1177" s="128">
        <v>1995</v>
      </c>
      <c r="I1177" s="128" t="s">
        <v>306</v>
      </c>
      <c r="J1177" s="128">
        <f t="shared" si="36"/>
        <v>6</v>
      </c>
      <c r="K1177" s="128" t="s">
        <v>2495</v>
      </c>
      <c r="L1177" s="128" t="s">
        <v>30</v>
      </c>
      <c r="M1177" s="129" t="s">
        <v>31</v>
      </c>
      <c r="N1177" s="129" t="s">
        <v>28</v>
      </c>
      <c r="O1177" s="129"/>
      <c r="P1177" s="129" t="str">
        <f t="shared" si="37"/>
        <v/>
      </c>
      <c r="Q1177" s="128" t="s">
        <v>2496</v>
      </c>
      <c r="R1177" s="128">
        <v>7.7</v>
      </c>
      <c r="S1177" s="130"/>
      <c r="T1177" s="130" t="s">
        <v>31</v>
      </c>
      <c r="U1177" s="131"/>
    </row>
    <row r="1178" spans="1:21" ht="15.75" thickBot="1">
      <c r="A1178" s="45">
        <v>1346</v>
      </c>
      <c r="B1178" s="123"/>
      <c r="C1178" s="123"/>
      <c r="D1178" s="123"/>
      <c r="E1178" s="123"/>
      <c r="F1178" s="123"/>
      <c r="G1178" s="127" t="s">
        <v>292</v>
      </c>
      <c r="H1178" s="128">
        <v>1995</v>
      </c>
      <c r="I1178" s="128" t="s">
        <v>306</v>
      </c>
      <c r="J1178" s="128">
        <f t="shared" si="36"/>
        <v>6</v>
      </c>
      <c r="K1178" s="128" t="s">
        <v>2497</v>
      </c>
      <c r="L1178" s="128" t="s">
        <v>30</v>
      </c>
      <c r="M1178" s="129" t="s">
        <v>31</v>
      </c>
      <c r="N1178" s="129" t="s">
        <v>28</v>
      </c>
      <c r="O1178" s="129"/>
      <c r="P1178" s="129" t="str">
        <f t="shared" si="37"/>
        <v/>
      </c>
      <c r="Q1178" s="128" t="s">
        <v>2498</v>
      </c>
      <c r="R1178" s="128">
        <v>3.6</v>
      </c>
      <c r="S1178" s="130"/>
      <c r="T1178" s="130" t="s">
        <v>31</v>
      </c>
      <c r="U1178" s="131"/>
    </row>
    <row r="1179" spans="1:21" ht="15.75" thickBot="1">
      <c r="A1179" s="45">
        <v>1346</v>
      </c>
      <c r="B1179" s="123"/>
      <c r="C1179" s="123"/>
      <c r="D1179" s="123"/>
      <c r="E1179" s="123"/>
      <c r="F1179" s="123"/>
      <c r="G1179" s="127" t="s">
        <v>292</v>
      </c>
      <c r="H1179" s="128">
        <v>1995</v>
      </c>
      <c r="I1179" s="128" t="s">
        <v>306</v>
      </c>
      <c r="J1179" s="128">
        <f t="shared" si="36"/>
        <v>6</v>
      </c>
      <c r="K1179" s="128" t="s">
        <v>2499</v>
      </c>
      <c r="L1179" s="128" t="s">
        <v>40</v>
      </c>
      <c r="M1179" s="129" t="s">
        <v>31</v>
      </c>
      <c r="N1179" s="129" t="s">
        <v>28</v>
      </c>
      <c r="O1179" s="129"/>
      <c r="P1179" s="129" t="str">
        <f t="shared" si="37"/>
        <v/>
      </c>
      <c r="Q1179" s="128" t="s">
        <v>2500</v>
      </c>
      <c r="R1179" s="128">
        <v>25.6</v>
      </c>
      <c r="S1179" s="128">
        <v>41.8</v>
      </c>
      <c r="T1179" s="130" t="s">
        <v>31</v>
      </c>
      <c r="U1179" s="131"/>
    </row>
    <row r="1180" spans="1:21" ht="15.75" thickBot="1">
      <c r="A1180" s="45">
        <v>1346</v>
      </c>
      <c r="B1180" s="123"/>
      <c r="C1180" s="123"/>
      <c r="D1180" s="123"/>
      <c r="E1180" s="123"/>
      <c r="F1180" s="123"/>
      <c r="G1180" s="127" t="s">
        <v>292</v>
      </c>
      <c r="H1180" s="128">
        <v>1995</v>
      </c>
      <c r="I1180" s="128" t="s">
        <v>306</v>
      </c>
      <c r="J1180" s="128">
        <f t="shared" si="36"/>
        <v>6</v>
      </c>
      <c r="K1180" s="128" t="s">
        <v>312</v>
      </c>
      <c r="L1180" s="128" t="s">
        <v>40</v>
      </c>
      <c r="M1180" s="129" t="s">
        <v>31</v>
      </c>
      <c r="N1180" s="129" t="s">
        <v>28</v>
      </c>
      <c r="O1180" s="129"/>
      <c r="P1180" s="129" t="str">
        <f t="shared" si="37"/>
        <v/>
      </c>
      <c r="Q1180" s="130"/>
      <c r="R1180" s="128">
        <v>9.3000000000000007</v>
      </c>
      <c r="S1180" s="130"/>
      <c r="T1180" s="130"/>
      <c r="U1180" s="131"/>
    </row>
    <row r="1181" spans="1:21" ht="15.75" thickBot="1">
      <c r="A1181" s="45">
        <v>1346</v>
      </c>
      <c r="B1181" s="123"/>
      <c r="C1181" s="123"/>
      <c r="D1181" s="123"/>
      <c r="E1181" s="123"/>
      <c r="F1181" s="123"/>
      <c r="G1181" s="127" t="s">
        <v>292</v>
      </c>
      <c r="H1181" s="128">
        <v>1995</v>
      </c>
      <c r="I1181" s="128" t="s">
        <v>306</v>
      </c>
      <c r="J1181" s="128">
        <f t="shared" si="36"/>
        <v>6</v>
      </c>
      <c r="K1181" s="128" t="s">
        <v>323</v>
      </c>
      <c r="L1181" s="128" t="s">
        <v>40</v>
      </c>
      <c r="M1181" s="129" t="s">
        <v>31</v>
      </c>
      <c r="N1181" s="129" t="s">
        <v>32</v>
      </c>
      <c r="O1181" s="129"/>
      <c r="P1181" s="129" t="str">
        <f t="shared" si="37"/>
        <v/>
      </c>
      <c r="Q1181" s="130"/>
      <c r="R1181" s="128">
        <v>35.1</v>
      </c>
      <c r="S1181" s="128">
        <v>58.2</v>
      </c>
      <c r="T1181" s="130"/>
      <c r="U1181" s="131"/>
    </row>
    <row r="1182" spans="1:21" ht="15.75" thickBot="1">
      <c r="A1182" s="45">
        <v>1346</v>
      </c>
      <c r="B1182" s="123"/>
      <c r="C1182" s="123"/>
      <c r="D1182" s="123"/>
      <c r="E1182" s="123"/>
      <c r="F1182" s="123"/>
      <c r="G1182" s="127" t="s">
        <v>292</v>
      </c>
      <c r="H1182" s="128">
        <v>1995</v>
      </c>
      <c r="I1182" s="128" t="s">
        <v>306</v>
      </c>
      <c r="J1182" s="128">
        <f t="shared" si="36"/>
        <v>6</v>
      </c>
      <c r="K1182" s="128" t="s">
        <v>2501</v>
      </c>
      <c r="L1182" s="128" t="s">
        <v>30</v>
      </c>
      <c r="M1182" s="129" t="s">
        <v>31</v>
      </c>
      <c r="N1182" s="129" t="s">
        <v>28</v>
      </c>
      <c r="O1182" s="129"/>
      <c r="P1182" s="129" t="str">
        <f t="shared" si="37"/>
        <v/>
      </c>
      <c r="Q1182" s="128" t="s">
        <v>2502</v>
      </c>
      <c r="R1182" s="128">
        <v>18.8</v>
      </c>
      <c r="S1182" s="130"/>
      <c r="T1182" s="130" t="s">
        <v>31</v>
      </c>
      <c r="U1182" s="131"/>
    </row>
    <row r="1183" spans="1:21" ht="15.75" hidden="1" thickBot="1">
      <c r="A1183" s="45">
        <v>1341</v>
      </c>
      <c r="B1183" s="123"/>
      <c r="C1183" s="123"/>
      <c r="D1183" s="123"/>
      <c r="E1183" s="123"/>
      <c r="F1183" s="123"/>
      <c r="G1183" s="127" t="s">
        <v>292</v>
      </c>
      <c r="H1183" s="128">
        <v>1996</v>
      </c>
      <c r="I1183" s="128" t="s">
        <v>91</v>
      </c>
      <c r="J1183" s="128">
        <f t="shared" si="36"/>
        <v>1</v>
      </c>
      <c r="K1183" s="128" t="s">
        <v>327</v>
      </c>
      <c r="L1183" s="128" t="s">
        <v>40</v>
      </c>
      <c r="M1183" s="129" t="s">
        <v>31</v>
      </c>
      <c r="N1183" s="129" t="s">
        <v>32</v>
      </c>
      <c r="O1183" s="129" t="s">
        <v>32</v>
      </c>
      <c r="P1183" s="129" t="str">
        <f t="shared" si="37"/>
        <v>Y</v>
      </c>
      <c r="Q1183" s="128" t="s">
        <v>2503</v>
      </c>
      <c r="R1183" s="168">
        <v>100</v>
      </c>
      <c r="S1183" s="130"/>
      <c r="T1183" s="130" t="s">
        <v>31</v>
      </c>
      <c r="U1183" s="131"/>
    </row>
    <row r="1184" spans="1:21" ht="15.75" hidden="1" thickBot="1">
      <c r="A1184" s="45">
        <v>1342</v>
      </c>
      <c r="B1184" s="123"/>
      <c r="C1184" s="123"/>
      <c r="D1184" s="123"/>
      <c r="E1184" s="123"/>
      <c r="F1184" s="123"/>
      <c r="G1184" s="127" t="s">
        <v>292</v>
      </c>
      <c r="H1184" s="128">
        <v>1996</v>
      </c>
      <c r="I1184" s="128" t="s">
        <v>79</v>
      </c>
      <c r="J1184" s="128">
        <f t="shared" si="36"/>
        <v>1</v>
      </c>
      <c r="K1184" s="128" t="s">
        <v>328</v>
      </c>
      <c r="L1184" s="128" t="s">
        <v>40</v>
      </c>
      <c r="M1184" s="129" t="s">
        <v>31</v>
      </c>
      <c r="N1184" s="129" t="s">
        <v>32</v>
      </c>
      <c r="O1184" s="129" t="s">
        <v>32</v>
      </c>
      <c r="P1184" s="129" t="str">
        <f t="shared" si="37"/>
        <v>Y</v>
      </c>
      <c r="Q1184" s="128" t="s">
        <v>2504</v>
      </c>
      <c r="R1184" s="168">
        <v>100</v>
      </c>
      <c r="S1184" s="130"/>
      <c r="T1184" s="130"/>
      <c r="U1184" s="131"/>
    </row>
    <row r="1185" spans="1:21" ht="15.75" hidden="1" thickBot="1">
      <c r="A1185" s="45">
        <v>1343</v>
      </c>
      <c r="B1185" s="123"/>
      <c r="C1185" s="123"/>
      <c r="D1185" s="123"/>
      <c r="E1185" s="123"/>
      <c r="F1185" s="123"/>
      <c r="G1185" s="127" t="s">
        <v>292</v>
      </c>
      <c r="H1185" s="128">
        <v>1996</v>
      </c>
      <c r="I1185" s="128" t="s">
        <v>100</v>
      </c>
      <c r="J1185" s="128">
        <f t="shared" si="36"/>
        <v>3</v>
      </c>
      <c r="K1185" s="128" t="s">
        <v>2491</v>
      </c>
      <c r="L1185" s="128" t="s">
        <v>30</v>
      </c>
      <c r="M1185" s="129" t="s">
        <v>174</v>
      </c>
      <c r="N1185" s="129" t="s">
        <v>28</v>
      </c>
      <c r="O1185" s="129" t="s">
        <v>28</v>
      </c>
      <c r="P1185" s="129" t="str">
        <f t="shared" si="37"/>
        <v>N/A</v>
      </c>
      <c r="Q1185" s="130"/>
      <c r="R1185" s="128">
        <v>8.0399999999999991</v>
      </c>
      <c r="S1185" s="130"/>
      <c r="T1185" s="130"/>
      <c r="U1185" s="131" t="s">
        <v>2492</v>
      </c>
    </row>
    <row r="1186" spans="1:21" ht="15.75" hidden="1" thickBot="1">
      <c r="A1186" s="45">
        <v>1343</v>
      </c>
      <c r="B1186" s="123"/>
      <c r="C1186" s="123"/>
      <c r="D1186" s="123"/>
      <c r="E1186" s="123"/>
      <c r="F1186" s="123"/>
      <c r="G1186" s="127" t="s">
        <v>292</v>
      </c>
      <c r="H1186" s="128">
        <v>1996</v>
      </c>
      <c r="I1186" s="128" t="s">
        <v>100</v>
      </c>
      <c r="J1186" s="128">
        <f t="shared" si="36"/>
        <v>3</v>
      </c>
      <c r="K1186" s="128" t="s">
        <v>329</v>
      </c>
      <c r="L1186" s="128" t="s">
        <v>30</v>
      </c>
      <c r="M1186" s="129" t="s">
        <v>31</v>
      </c>
      <c r="N1186" s="129" t="s">
        <v>32</v>
      </c>
      <c r="O1186" s="129" t="s">
        <v>32</v>
      </c>
      <c r="P1186" s="129" t="str">
        <f t="shared" si="37"/>
        <v>Y</v>
      </c>
      <c r="Q1186" s="130"/>
      <c r="R1186" s="128">
        <v>65.92</v>
      </c>
      <c r="S1186" s="130"/>
      <c r="T1186" s="130"/>
      <c r="U1186" s="131"/>
    </row>
    <row r="1187" spans="1:21" ht="15.75" thickBot="1">
      <c r="A1187" s="45">
        <v>1343</v>
      </c>
      <c r="B1187" s="123"/>
      <c r="C1187" s="123"/>
      <c r="D1187" s="123"/>
      <c r="E1187" s="123"/>
      <c r="F1187" s="123"/>
      <c r="G1187" s="127" t="s">
        <v>292</v>
      </c>
      <c r="H1187" s="128">
        <v>1996</v>
      </c>
      <c r="I1187" s="128" t="s">
        <v>100</v>
      </c>
      <c r="J1187" s="128">
        <f t="shared" si="36"/>
        <v>3</v>
      </c>
      <c r="K1187" s="128" t="s">
        <v>2458</v>
      </c>
      <c r="L1187" s="128" t="s">
        <v>40</v>
      </c>
      <c r="M1187" s="129" t="s">
        <v>34</v>
      </c>
      <c r="N1187" s="129" t="s">
        <v>28</v>
      </c>
      <c r="O1187" s="129"/>
      <c r="P1187" s="129" t="str">
        <f t="shared" si="37"/>
        <v/>
      </c>
      <c r="Q1187" s="128" t="s">
        <v>2505</v>
      </c>
      <c r="R1187" s="128">
        <v>26.04</v>
      </c>
      <c r="S1187" s="130"/>
      <c r="T1187" s="130" t="s">
        <v>1015</v>
      </c>
      <c r="U1187" s="131"/>
    </row>
    <row r="1188" spans="1:21" ht="15.75" thickBot="1">
      <c r="A1188" s="45">
        <v>1344</v>
      </c>
      <c r="B1188" s="123"/>
      <c r="C1188" s="123"/>
      <c r="D1188" s="123"/>
      <c r="E1188" s="123"/>
      <c r="F1188" s="123"/>
      <c r="G1188" s="127" t="s">
        <v>292</v>
      </c>
      <c r="H1188" s="128">
        <v>1996</v>
      </c>
      <c r="I1188" s="128" t="s">
        <v>85</v>
      </c>
      <c r="J1188" s="128">
        <f t="shared" si="36"/>
        <v>2</v>
      </c>
      <c r="K1188" s="128" t="s">
        <v>330</v>
      </c>
      <c r="L1188" s="128" t="s">
        <v>40</v>
      </c>
      <c r="M1188" s="129" t="s">
        <v>201</v>
      </c>
      <c r="N1188" s="129" t="s">
        <v>32</v>
      </c>
      <c r="O1188" s="129"/>
      <c r="P1188" s="129" t="str">
        <f t="shared" si="37"/>
        <v/>
      </c>
      <c r="Q1188" s="128" t="s">
        <v>2506</v>
      </c>
      <c r="R1188" s="128">
        <v>60.73</v>
      </c>
      <c r="S1188" s="130"/>
      <c r="T1188" s="130" t="s">
        <v>1069</v>
      </c>
      <c r="U1188" s="131"/>
    </row>
    <row r="1189" spans="1:21" ht="15.75" thickBot="1">
      <c r="A1189" s="45">
        <v>1344</v>
      </c>
      <c r="B1189" s="123"/>
      <c r="C1189" s="123"/>
      <c r="D1189" s="123"/>
      <c r="E1189" s="123"/>
      <c r="F1189" s="123"/>
      <c r="G1189" s="127" t="s">
        <v>292</v>
      </c>
      <c r="H1189" s="128">
        <v>1996</v>
      </c>
      <c r="I1189" s="128" t="s">
        <v>85</v>
      </c>
      <c r="J1189" s="128">
        <f t="shared" si="36"/>
        <v>2</v>
      </c>
      <c r="K1189" s="128" t="s">
        <v>2507</v>
      </c>
      <c r="L1189" s="128" t="s">
        <v>30</v>
      </c>
      <c r="M1189" s="129" t="s">
        <v>1003</v>
      </c>
      <c r="N1189" s="129" t="s">
        <v>28</v>
      </c>
      <c r="O1189" s="129"/>
      <c r="P1189" s="129" t="str">
        <f t="shared" si="37"/>
        <v/>
      </c>
      <c r="Q1189" s="128" t="s">
        <v>1004</v>
      </c>
      <c r="R1189" s="128">
        <v>39.270000000000003</v>
      </c>
      <c r="S1189" s="130"/>
      <c r="T1189" s="130"/>
      <c r="U1189" s="131"/>
    </row>
    <row r="1190" spans="1:21" ht="15.75" hidden="1" thickBot="1">
      <c r="A1190" s="45">
        <v>1345</v>
      </c>
      <c r="B1190" s="123"/>
      <c r="C1190" s="123"/>
      <c r="D1190" s="123"/>
      <c r="E1190" s="123"/>
      <c r="F1190" s="123"/>
      <c r="G1190" s="127" t="s">
        <v>292</v>
      </c>
      <c r="H1190" s="128">
        <v>1996</v>
      </c>
      <c r="I1190" s="128" t="s">
        <v>306</v>
      </c>
      <c r="J1190" s="128">
        <f t="shared" si="36"/>
        <v>1</v>
      </c>
      <c r="K1190" s="128" t="s">
        <v>323</v>
      </c>
      <c r="L1190" s="128" t="s">
        <v>40</v>
      </c>
      <c r="M1190" s="129" t="s">
        <v>31</v>
      </c>
      <c r="N1190" s="129" t="s">
        <v>32</v>
      </c>
      <c r="O1190" s="129" t="s">
        <v>32</v>
      </c>
      <c r="P1190" s="129" t="str">
        <f t="shared" si="37"/>
        <v>Y</v>
      </c>
      <c r="Q1190" s="130"/>
      <c r="R1190" s="168">
        <v>100</v>
      </c>
      <c r="S1190" s="130"/>
      <c r="T1190" s="130" t="s">
        <v>31</v>
      </c>
      <c r="U1190" s="131"/>
    </row>
    <row r="1191" spans="1:21" ht="15.75" hidden="1" thickBot="1">
      <c r="A1191" s="45">
        <v>1335</v>
      </c>
      <c r="B1191" s="123"/>
      <c r="C1191" s="123"/>
      <c r="D1191" s="123"/>
      <c r="E1191" s="123"/>
      <c r="F1191" s="123"/>
      <c r="G1191" s="127" t="s">
        <v>292</v>
      </c>
      <c r="H1191" s="128">
        <v>1998</v>
      </c>
      <c r="I1191" s="128" t="s">
        <v>38</v>
      </c>
      <c r="J1191" s="128">
        <f t="shared" si="36"/>
        <v>4</v>
      </c>
      <c r="K1191" s="128" t="s">
        <v>2491</v>
      </c>
      <c r="L1191" s="128" t="s">
        <v>30</v>
      </c>
      <c r="M1191" s="129" t="s">
        <v>174</v>
      </c>
      <c r="N1191" s="129" t="s">
        <v>28</v>
      </c>
      <c r="O1191" s="129" t="s">
        <v>28</v>
      </c>
      <c r="P1191" s="129" t="str">
        <f t="shared" si="37"/>
        <v>N/A</v>
      </c>
      <c r="Q1191" s="130"/>
      <c r="R1191" s="128">
        <v>4.5</v>
      </c>
      <c r="S1191" s="130"/>
      <c r="T1191" s="130" t="s">
        <v>31</v>
      </c>
      <c r="U1191" s="123" t="s">
        <v>2492</v>
      </c>
    </row>
    <row r="1192" spans="1:21" ht="15.75" thickBot="1">
      <c r="A1192" s="45">
        <v>1335</v>
      </c>
      <c r="B1192" s="123"/>
      <c r="C1192" s="123"/>
      <c r="D1192" s="123"/>
      <c r="E1192" s="123"/>
      <c r="F1192" s="123"/>
      <c r="G1192" s="127" t="s">
        <v>292</v>
      </c>
      <c r="H1192" s="128">
        <v>1998</v>
      </c>
      <c r="I1192" s="128" t="s">
        <v>38</v>
      </c>
      <c r="J1192" s="128">
        <f t="shared" si="36"/>
        <v>4</v>
      </c>
      <c r="K1192" s="128" t="s">
        <v>2493</v>
      </c>
      <c r="L1192" s="128" t="s">
        <v>40</v>
      </c>
      <c r="M1192" s="129" t="s">
        <v>1065</v>
      </c>
      <c r="N1192" s="129" t="s">
        <v>28</v>
      </c>
      <c r="O1192" s="129"/>
      <c r="P1192" s="129" t="str">
        <f t="shared" si="37"/>
        <v/>
      </c>
      <c r="Q1192" s="130"/>
      <c r="R1192" s="128">
        <v>11.7</v>
      </c>
      <c r="S1192" s="130"/>
      <c r="T1192" s="130" t="s">
        <v>31</v>
      </c>
      <c r="U1192" s="131"/>
    </row>
    <row r="1193" spans="1:21" ht="15.75" thickBot="1">
      <c r="A1193" s="45">
        <v>1335</v>
      </c>
      <c r="B1193" s="123"/>
      <c r="C1193" s="123"/>
      <c r="D1193" s="123"/>
      <c r="E1193" s="123"/>
      <c r="F1193" s="123"/>
      <c r="G1193" s="127" t="s">
        <v>292</v>
      </c>
      <c r="H1193" s="128">
        <v>1998</v>
      </c>
      <c r="I1193" s="128" t="s">
        <v>38</v>
      </c>
      <c r="J1193" s="128">
        <f t="shared" si="36"/>
        <v>4</v>
      </c>
      <c r="K1193" s="128" t="s">
        <v>2508</v>
      </c>
      <c r="L1193" s="128" t="s">
        <v>40</v>
      </c>
      <c r="M1193" s="129" t="s">
        <v>31</v>
      </c>
      <c r="N1193" s="129" t="s">
        <v>28</v>
      </c>
      <c r="O1193" s="129"/>
      <c r="P1193" s="129" t="str">
        <f t="shared" si="37"/>
        <v/>
      </c>
      <c r="Q1193" s="130"/>
      <c r="R1193" s="128">
        <v>37.9</v>
      </c>
      <c r="S1193" s="128">
        <v>48.8</v>
      </c>
      <c r="T1193" s="130"/>
      <c r="U1193" s="123"/>
    </row>
    <row r="1194" spans="1:21" ht="15.75" thickBot="1">
      <c r="A1194" s="45">
        <v>1335</v>
      </c>
      <c r="B1194" s="123"/>
      <c r="C1194" s="123"/>
      <c r="D1194" s="123"/>
      <c r="E1194" s="123"/>
      <c r="F1194" s="123"/>
      <c r="G1194" s="127" t="s">
        <v>292</v>
      </c>
      <c r="H1194" s="128">
        <v>1998</v>
      </c>
      <c r="I1194" s="128" t="s">
        <v>38</v>
      </c>
      <c r="J1194" s="128">
        <f t="shared" si="36"/>
        <v>4</v>
      </c>
      <c r="K1194" s="128" t="s">
        <v>2509</v>
      </c>
      <c r="L1194" s="128" t="s">
        <v>30</v>
      </c>
      <c r="M1194" s="129" t="s">
        <v>1065</v>
      </c>
      <c r="N1194" s="129" t="s">
        <v>32</v>
      </c>
      <c r="O1194" s="129"/>
      <c r="P1194" s="129" t="str">
        <f t="shared" si="37"/>
        <v/>
      </c>
      <c r="Q1194" s="130"/>
      <c r="R1194" s="128">
        <v>45.9</v>
      </c>
      <c r="S1194" s="128">
        <v>51.2</v>
      </c>
      <c r="T1194" s="130" t="s">
        <v>1069</v>
      </c>
      <c r="U1194" s="123"/>
    </row>
    <row r="1195" spans="1:21" ht="15.75" thickBot="1">
      <c r="A1195" s="45">
        <v>1336</v>
      </c>
      <c r="B1195" s="123"/>
      <c r="C1195" s="123"/>
      <c r="D1195" s="123"/>
      <c r="E1195" s="123"/>
      <c r="F1195" s="123"/>
      <c r="G1195" s="127" t="s">
        <v>292</v>
      </c>
      <c r="H1195" s="128">
        <v>1998</v>
      </c>
      <c r="I1195" s="128" t="s">
        <v>76</v>
      </c>
      <c r="J1195" s="128">
        <f t="shared" si="36"/>
        <v>4</v>
      </c>
      <c r="K1195" s="128" t="s">
        <v>2510</v>
      </c>
      <c r="L1195" s="128" t="s">
        <v>30</v>
      </c>
      <c r="M1195" s="129" t="s">
        <v>31</v>
      </c>
      <c r="N1195" s="129" t="s">
        <v>28</v>
      </c>
      <c r="O1195" s="129"/>
      <c r="P1195" s="129" t="str">
        <f t="shared" si="37"/>
        <v/>
      </c>
      <c r="Q1195" s="128" t="s">
        <v>2511</v>
      </c>
      <c r="R1195" s="128">
        <v>40.5</v>
      </c>
      <c r="S1195" s="128">
        <v>47.1</v>
      </c>
      <c r="T1195" s="130"/>
      <c r="U1195" s="131"/>
    </row>
    <row r="1196" spans="1:21" ht="15.75" thickBot="1">
      <c r="A1196" s="45">
        <v>1336</v>
      </c>
      <c r="B1196" s="123"/>
      <c r="C1196" s="123"/>
      <c r="D1196" s="123"/>
      <c r="E1196" s="123"/>
      <c r="F1196" s="123"/>
      <c r="G1196" s="127" t="s">
        <v>292</v>
      </c>
      <c r="H1196" s="128">
        <v>1998</v>
      </c>
      <c r="I1196" s="128" t="s">
        <v>76</v>
      </c>
      <c r="J1196" s="128">
        <f t="shared" si="36"/>
        <v>4</v>
      </c>
      <c r="K1196" s="128" t="s">
        <v>2512</v>
      </c>
      <c r="L1196" s="128" t="s">
        <v>30</v>
      </c>
      <c r="M1196" s="129" t="s">
        <v>31</v>
      </c>
      <c r="N1196" s="129" t="s">
        <v>28</v>
      </c>
      <c r="O1196" s="129"/>
      <c r="P1196" s="129" t="str">
        <f t="shared" si="37"/>
        <v/>
      </c>
      <c r="Q1196" s="128" t="s">
        <v>2513</v>
      </c>
      <c r="R1196" s="128">
        <v>11.2</v>
      </c>
      <c r="S1196" s="130"/>
      <c r="T1196" s="130"/>
      <c r="U1196" s="131"/>
    </row>
    <row r="1197" spans="1:21" ht="15.75" thickBot="1">
      <c r="A1197" s="45">
        <v>1336</v>
      </c>
      <c r="B1197" s="123"/>
      <c r="C1197" s="123"/>
      <c r="D1197" s="123"/>
      <c r="E1197" s="123"/>
      <c r="F1197" s="123"/>
      <c r="G1197" s="127" t="s">
        <v>292</v>
      </c>
      <c r="H1197" s="128">
        <v>1998</v>
      </c>
      <c r="I1197" s="128" t="s">
        <v>76</v>
      </c>
      <c r="J1197" s="128">
        <f t="shared" si="36"/>
        <v>4</v>
      </c>
      <c r="K1197" s="128" t="s">
        <v>320</v>
      </c>
      <c r="L1197" s="128" t="s">
        <v>40</v>
      </c>
      <c r="M1197" s="129" t="s">
        <v>31</v>
      </c>
      <c r="N1197" s="129" t="s">
        <v>32</v>
      </c>
      <c r="O1197" s="129"/>
      <c r="P1197" s="129" t="str">
        <f t="shared" si="37"/>
        <v/>
      </c>
      <c r="Q1197" s="130"/>
      <c r="R1197" s="128">
        <v>41</v>
      </c>
      <c r="S1197" s="128">
        <v>52.9</v>
      </c>
      <c r="T1197" s="130"/>
      <c r="U1197" s="131"/>
    </row>
    <row r="1198" spans="1:21" ht="15.75" thickBot="1">
      <c r="A1198" s="45">
        <v>1336</v>
      </c>
      <c r="B1198" s="123"/>
      <c r="C1198" s="123"/>
      <c r="D1198" s="123"/>
      <c r="E1198" s="123"/>
      <c r="F1198" s="123"/>
      <c r="G1198" s="127" t="s">
        <v>292</v>
      </c>
      <c r="H1198" s="128">
        <v>1998</v>
      </c>
      <c r="I1198" s="128" t="s">
        <v>76</v>
      </c>
      <c r="J1198" s="128">
        <f t="shared" si="36"/>
        <v>4</v>
      </c>
      <c r="K1198" s="128" t="s">
        <v>2514</v>
      </c>
      <c r="L1198" s="128" t="s">
        <v>30</v>
      </c>
      <c r="M1198" s="129" t="s">
        <v>31</v>
      </c>
      <c r="N1198" s="129" t="s">
        <v>28</v>
      </c>
      <c r="O1198" s="129"/>
      <c r="P1198" s="129" t="str">
        <f t="shared" si="37"/>
        <v/>
      </c>
      <c r="Q1198" s="130"/>
      <c r="R1198" s="128">
        <v>7.3</v>
      </c>
      <c r="S1198" s="130"/>
      <c r="T1198" s="130"/>
      <c r="U1198" s="131"/>
    </row>
    <row r="1199" spans="1:21" ht="15.75" thickBot="1">
      <c r="A1199" s="45">
        <v>1337</v>
      </c>
      <c r="B1199" s="123"/>
      <c r="C1199" s="123"/>
      <c r="D1199" s="123"/>
      <c r="E1199" s="123"/>
      <c r="F1199" s="123"/>
      <c r="G1199" s="127" t="s">
        <v>292</v>
      </c>
      <c r="H1199" s="128">
        <v>1998</v>
      </c>
      <c r="I1199" s="128" t="s">
        <v>94</v>
      </c>
      <c r="J1199" s="128">
        <f t="shared" si="36"/>
        <v>5</v>
      </c>
      <c r="K1199" s="128" t="s">
        <v>321</v>
      </c>
      <c r="L1199" s="128" t="s">
        <v>40</v>
      </c>
      <c r="M1199" s="129" t="s">
        <v>1065</v>
      </c>
      <c r="N1199" s="129" t="s">
        <v>32</v>
      </c>
      <c r="O1199" s="129"/>
      <c r="P1199" s="129" t="str">
        <f t="shared" si="37"/>
        <v/>
      </c>
      <c r="Q1199" s="130"/>
      <c r="R1199" s="128">
        <v>46.1</v>
      </c>
      <c r="S1199" s="128">
        <v>51.3</v>
      </c>
      <c r="T1199" s="130"/>
      <c r="U1199" s="131"/>
    </row>
    <row r="1200" spans="1:21" ht="15.75" thickBot="1">
      <c r="A1200" s="45">
        <v>1337</v>
      </c>
      <c r="B1200" s="123"/>
      <c r="C1200" s="123"/>
      <c r="D1200" s="123"/>
      <c r="E1200" s="123"/>
      <c r="F1200" s="123"/>
      <c r="G1200" s="127" t="s">
        <v>292</v>
      </c>
      <c r="H1200" s="128">
        <v>1998</v>
      </c>
      <c r="I1200" s="128" t="s">
        <v>94</v>
      </c>
      <c r="J1200" s="128">
        <f t="shared" si="36"/>
        <v>5</v>
      </c>
      <c r="K1200" s="128" t="s">
        <v>2472</v>
      </c>
      <c r="L1200" s="128" t="s">
        <v>30</v>
      </c>
      <c r="M1200" s="129" t="s">
        <v>31</v>
      </c>
      <c r="N1200" s="129" t="s">
        <v>28</v>
      </c>
      <c r="O1200" s="129"/>
      <c r="P1200" s="129" t="str">
        <f t="shared" si="37"/>
        <v/>
      </c>
      <c r="Q1200" s="128" t="s">
        <v>2515</v>
      </c>
      <c r="R1200" s="128">
        <v>3.5</v>
      </c>
      <c r="S1200" s="130"/>
      <c r="T1200" s="130"/>
      <c r="U1200" s="131"/>
    </row>
    <row r="1201" spans="1:21" ht="15.75" thickBot="1">
      <c r="A1201" s="45">
        <v>1337</v>
      </c>
      <c r="B1201" s="123"/>
      <c r="C1201" s="123"/>
      <c r="D1201" s="123"/>
      <c r="E1201" s="123"/>
      <c r="F1201" s="123"/>
      <c r="G1201" s="127" t="s">
        <v>292</v>
      </c>
      <c r="H1201" s="128">
        <v>1998</v>
      </c>
      <c r="I1201" s="128" t="s">
        <v>94</v>
      </c>
      <c r="J1201" s="128">
        <f t="shared" si="36"/>
        <v>5</v>
      </c>
      <c r="K1201" s="128" t="s">
        <v>2516</v>
      </c>
      <c r="L1201" s="128" t="s">
        <v>30</v>
      </c>
      <c r="M1201" s="129" t="s">
        <v>31</v>
      </c>
      <c r="N1201" s="129" t="s">
        <v>28</v>
      </c>
      <c r="O1201" s="129"/>
      <c r="P1201" s="129" t="str">
        <f t="shared" si="37"/>
        <v/>
      </c>
      <c r="Q1201" s="128" t="s">
        <v>2517</v>
      </c>
      <c r="R1201" s="128">
        <v>3.5</v>
      </c>
      <c r="S1201" s="130"/>
      <c r="T1201" s="130"/>
      <c r="U1201" s="131"/>
    </row>
    <row r="1202" spans="1:21" ht="15.75" thickBot="1">
      <c r="A1202" s="45">
        <v>1337</v>
      </c>
      <c r="B1202" s="123"/>
      <c r="C1202" s="123"/>
      <c r="D1202" s="123"/>
      <c r="E1202" s="123"/>
      <c r="F1202" s="123"/>
      <c r="G1202" s="127" t="s">
        <v>292</v>
      </c>
      <c r="H1202" s="128">
        <v>1998</v>
      </c>
      <c r="I1202" s="128" t="s">
        <v>94</v>
      </c>
      <c r="J1202" s="128">
        <f t="shared" si="36"/>
        <v>5</v>
      </c>
      <c r="K1202" s="128" t="s">
        <v>2518</v>
      </c>
      <c r="L1202" s="128" t="s">
        <v>30</v>
      </c>
      <c r="M1202" s="129" t="s">
        <v>1065</v>
      </c>
      <c r="N1202" s="129" t="s">
        <v>28</v>
      </c>
      <c r="O1202" s="129"/>
      <c r="P1202" s="129" t="str">
        <f t="shared" si="37"/>
        <v/>
      </c>
      <c r="Q1202" s="128" t="s">
        <v>2519</v>
      </c>
      <c r="R1202" s="128">
        <v>5.6</v>
      </c>
      <c r="S1202" s="130"/>
      <c r="T1202" s="130" t="s">
        <v>31</v>
      </c>
      <c r="U1202" s="131"/>
    </row>
    <row r="1203" spans="1:21" ht="15.75" thickBot="1">
      <c r="A1203" s="45">
        <v>1337</v>
      </c>
      <c r="B1203" s="123"/>
      <c r="C1203" s="123"/>
      <c r="D1203" s="123"/>
      <c r="E1203" s="123"/>
      <c r="F1203" s="123"/>
      <c r="G1203" s="127" t="s">
        <v>292</v>
      </c>
      <c r="H1203" s="128">
        <v>1998</v>
      </c>
      <c r="I1203" s="128" t="s">
        <v>94</v>
      </c>
      <c r="J1203" s="128">
        <f t="shared" si="36"/>
        <v>5</v>
      </c>
      <c r="K1203" s="128" t="s">
        <v>2520</v>
      </c>
      <c r="L1203" s="128" t="s">
        <v>30</v>
      </c>
      <c r="M1203" s="129" t="s">
        <v>201</v>
      </c>
      <c r="N1203" s="129" t="s">
        <v>28</v>
      </c>
      <c r="O1203" s="129"/>
      <c r="P1203" s="129" t="str">
        <f t="shared" si="37"/>
        <v/>
      </c>
      <c r="Q1203" s="128" t="s">
        <v>2521</v>
      </c>
      <c r="R1203" s="128">
        <v>41.2</v>
      </c>
      <c r="S1203" s="128">
        <v>48.7</v>
      </c>
      <c r="T1203" s="130" t="s">
        <v>31</v>
      </c>
      <c r="U1203" s="131"/>
    </row>
    <row r="1204" spans="1:21" ht="15.75" hidden="1" thickBot="1">
      <c r="A1204" s="45">
        <v>1338</v>
      </c>
      <c r="B1204" s="123"/>
      <c r="C1204" s="123"/>
      <c r="D1204" s="123"/>
      <c r="E1204" s="123"/>
      <c r="F1204" s="123"/>
      <c r="G1204" s="127" t="s">
        <v>292</v>
      </c>
      <c r="H1204" s="128">
        <v>1998</v>
      </c>
      <c r="I1204" s="128" t="s">
        <v>97</v>
      </c>
      <c r="J1204" s="128">
        <f t="shared" si="36"/>
        <v>2</v>
      </c>
      <c r="K1204" s="128" t="s">
        <v>324</v>
      </c>
      <c r="L1204" s="128" t="s">
        <v>30</v>
      </c>
      <c r="M1204" s="129" t="s">
        <v>1065</v>
      </c>
      <c r="N1204" s="129" t="s">
        <v>32</v>
      </c>
      <c r="O1204" s="129" t="s">
        <v>32</v>
      </c>
      <c r="P1204" s="129" t="str">
        <f t="shared" si="37"/>
        <v>Y</v>
      </c>
      <c r="Q1204" s="130"/>
      <c r="R1204" s="128">
        <v>73.3</v>
      </c>
      <c r="S1204" s="130"/>
      <c r="T1204" s="130" t="s">
        <v>1069</v>
      </c>
      <c r="U1204" s="131"/>
    </row>
    <row r="1205" spans="1:21" ht="26.25" thickBot="1">
      <c r="A1205" s="45">
        <v>1338</v>
      </c>
      <c r="B1205" s="123"/>
      <c r="C1205" s="123"/>
      <c r="D1205" s="123"/>
      <c r="E1205" s="123"/>
      <c r="F1205" s="123"/>
      <c r="G1205" s="127" t="s">
        <v>292</v>
      </c>
      <c r="H1205" s="128">
        <v>1998</v>
      </c>
      <c r="I1205" s="128" t="s">
        <v>97</v>
      </c>
      <c r="J1205" s="128">
        <f t="shared" si="36"/>
        <v>2</v>
      </c>
      <c r="K1205" s="128" t="s">
        <v>2522</v>
      </c>
      <c r="L1205" s="128" t="s">
        <v>30</v>
      </c>
      <c r="M1205" s="129" t="s">
        <v>1065</v>
      </c>
      <c r="N1205" s="129" t="s">
        <v>28</v>
      </c>
      <c r="O1205" s="129"/>
      <c r="P1205" s="129" t="str">
        <f t="shared" si="37"/>
        <v/>
      </c>
      <c r="Q1205" s="128" t="s">
        <v>2523</v>
      </c>
      <c r="R1205" s="128">
        <v>26.7</v>
      </c>
      <c r="S1205" s="130"/>
      <c r="T1205" s="130" t="s">
        <v>1680</v>
      </c>
      <c r="U1205" s="131"/>
    </row>
    <row r="1206" spans="1:21" ht="15.75" hidden="1" thickBot="1">
      <c r="A1206" s="45">
        <v>1339</v>
      </c>
      <c r="B1206" s="123"/>
      <c r="C1206" s="123"/>
      <c r="D1206" s="123"/>
      <c r="E1206" s="123"/>
      <c r="F1206" s="123"/>
      <c r="G1206" s="127" t="s">
        <v>292</v>
      </c>
      <c r="H1206" s="128">
        <v>1998</v>
      </c>
      <c r="I1206" s="128" t="s">
        <v>82</v>
      </c>
      <c r="J1206" s="128">
        <f t="shared" si="36"/>
        <v>3</v>
      </c>
      <c r="K1206" s="128" t="s">
        <v>2480</v>
      </c>
      <c r="L1206" s="128" t="s">
        <v>30</v>
      </c>
      <c r="M1206" s="129" t="s">
        <v>1003</v>
      </c>
      <c r="N1206" s="129" t="s">
        <v>28</v>
      </c>
      <c r="O1206" s="129" t="s">
        <v>28</v>
      </c>
      <c r="P1206" s="129" t="str">
        <f t="shared" si="37"/>
        <v>N/A</v>
      </c>
      <c r="Q1206" s="128" t="s">
        <v>1004</v>
      </c>
      <c r="R1206" s="128">
        <v>15.8</v>
      </c>
      <c r="S1206" s="130"/>
      <c r="T1206" s="130" t="s">
        <v>31</v>
      </c>
      <c r="U1206" s="131"/>
    </row>
    <row r="1207" spans="1:21" ht="15.75" hidden="1" thickBot="1">
      <c r="A1207" s="45">
        <v>1339</v>
      </c>
      <c r="B1207" s="123"/>
      <c r="C1207" s="123"/>
      <c r="D1207" s="123"/>
      <c r="E1207" s="123"/>
      <c r="F1207" s="123"/>
      <c r="G1207" s="127" t="s">
        <v>292</v>
      </c>
      <c r="H1207" s="128">
        <v>1998</v>
      </c>
      <c r="I1207" s="128" t="s">
        <v>82</v>
      </c>
      <c r="J1207" s="128">
        <f t="shared" si="36"/>
        <v>3</v>
      </c>
      <c r="K1207" s="128" t="s">
        <v>325</v>
      </c>
      <c r="L1207" s="128" t="s">
        <v>30</v>
      </c>
      <c r="M1207" s="129" t="s">
        <v>912</v>
      </c>
      <c r="N1207" s="129" t="s">
        <v>32</v>
      </c>
      <c r="O1207" s="129" t="s">
        <v>32</v>
      </c>
      <c r="P1207" s="129" t="str">
        <f t="shared" si="37"/>
        <v>Y</v>
      </c>
      <c r="Q1207" s="128" t="s">
        <v>2524</v>
      </c>
      <c r="R1207" s="128">
        <v>72.2</v>
      </c>
      <c r="S1207" s="130"/>
      <c r="T1207" s="130" t="s">
        <v>31</v>
      </c>
      <c r="U1207" s="131"/>
    </row>
    <row r="1208" spans="1:21" ht="15.75" thickBot="1">
      <c r="A1208" s="45">
        <v>1339</v>
      </c>
      <c r="B1208" s="123"/>
      <c r="C1208" s="123"/>
      <c r="D1208" s="123"/>
      <c r="E1208" s="123"/>
      <c r="F1208" s="123"/>
      <c r="G1208" s="127" t="s">
        <v>292</v>
      </c>
      <c r="H1208" s="128">
        <v>1998</v>
      </c>
      <c r="I1208" s="128" t="s">
        <v>82</v>
      </c>
      <c r="J1208" s="128">
        <f t="shared" si="36"/>
        <v>3</v>
      </c>
      <c r="K1208" s="128" t="s">
        <v>2525</v>
      </c>
      <c r="L1208" s="128" t="s">
        <v>30</v>
      </c>
      <c r="M1208" s="129" t="s">
        <v>31</v>
      </c>
      <c r="N1208" s="129" t="s">
        <v>28</v>
      </c>
      <c r="O1208" s="129"/>
      <c r="P1208" s="129" t="str">
        <f t="shared" si="37"/>
        <v/>
      </c>
      <c r="Q1208" s="128" t="s">
        <v>2526</v>
      </c>
      <c r="R1208" s="128">
        <v>11.5</v>
      </c>
      <c r="S1208" s="130"/>
      <c r="T1208" s="130"/>
      <c r="U1208" s="131"/>
    </row>
    <row r="1209" spans="1:21" ht="15.75" hidden="1" thickBot="1">
      <c r="A1209" s="45">
        <v>1340</v>
      </c>
      <c r="B1209" s="123"/>
      <c r="C1209" s="123"/>
      <c r="D1209" s="123"/>
      <c r="E1209" s="123"/>
      <c r="F1209" s="123"/>
      <c r="G1209" s="127" t="s">
        <v>292</v>
      </c>
      <c r="H1209" s="128">
        <v>1998</v>
      </c>
      <c r="I1209" s="128" t="s">
        <v>300</v>
      </c>
      <c r="J1209" s="128">
        <f t="shared" si="36"/>
        <v>1</v>
      </c>
      <c r="K1209" s="128" t="s">
        <v>326</v>
      </c>
      <c r="L1209" s="128" t="s">
        <v>30</v>
      </c>
      <c r="M1209" s="129" t="s">
        <v>31</v>
      </c>
      <c r="N1209" s="129" t="s">
        <v>32</v>
      </c>
      <c r="O1209" s="129" t="s">
        <v>32</v>
      </c>
      <c r="P1209" s="129" t="str">
        <f t="shared" si="37"/>
        <v>Y</v>
      </c>
      <c r="Q1209" s="128" t="s">
        <v>2527</v>
      </c>
      <c r="R1209" s="128">
        <v>100</v>
      </c>
      <c r="S1209" s="130"/>
      <c r="T1209" s="130" t="s">
        <v>1015</v>
      </c>
      <c r="U1209" s="131"/>
    </row>
    <row r="1210" spans="1:21" ht="15.75" hidden="1" thickBot="1">
      <c r="A1210" s="45">
        <v>1330</v>
      </c>
      <c r="B1210" s="123"/>
      <c r="C1210" s="123"/>
      <c r="D1210" s="123"/>
      <c r="E1210" s="123"/>
      <c r="F1210" s="123"/>
      <c r="G1210" s="127" t="s">
        <v>292</v>
      </c>
      <c r="H1210" s="128">
        <v>2000</v>
      </c>
      <c r="I1210" s="128" t="s">
        <v>91</v>
      </c>
      <c r="J1210" s="128">
        <f t="shared" si="36"/>
        <v>3</v>
      </c>
      <c r="K1210" s="128" t="s">
        <v>316</v>
      </c>
      <c r="L1210" s="128" t="s">
        <v>30</v>
      </c>
      <c r="M1210" s="129" t="s">
        <v>201</v>
      </c>
      <c r="N1210" s="129" t="s">
        <v>32</v>
      </c>
      <c r="O1210" s="129" t="s">
        <v>28</v>
      </c>
      <c r="P1210" s="129" t="str">
        <f t="shared" si="37"/>
        <v>N/A</v>
      </c>
      <c r="Q1210" s="130"/>
      <c r="R1210" s="128">
        <v>48.6</v>
      </c>
      <c r="S1210" s="128">
        <v>55.9</v>
      </c>
      <c r="T1210" s="130" t="s">
        <v>31</v>
      </c>
      <c r="U1210" s="131"/>
    </row>
    <row r="1211" spans="1:21" ht="15.75" hidden="1" thickBot="1">
      <c r="A1211" s="45">
        <v>1330</v>
      </c>
      <c r="B1211" s="123"/>
      <c r="C1211" s="123"/>
      <c r="D1211" s="123"/>
      <c r="E1211" s="123"/>
      <c r="F1211" s="123"/>
      <c r="G1211" s="127" t="s">
        <v>292</v>
      </c>
      <c r="H1211" s="128">
        <v>2000</v>
      </c>
      <c r="I1211" s="128" t="s">
        <v>91</v>
      </c>
      <c r="J1211" s="128">
        <f t="shared" si="36"/>
        <v>3</v>
      </c>
      <c r="K1211" s="128" t="s">
        <v>2493</v>
      </c>
      <c r="L1211" s="128" t="s">
        <v>40</v>
      </c>
      <c r="M1211" s="129" t="s">
        <v>1065</v>
      </c>
      <c r="N1211" s="129" t="s">
        <v>28</v>
      </c>
      <c r="O1211" s="129" t="s">
        <v>28</v>
      </c>
      <c r="P1211" s="129" t="str">
        <f t="shared" si="37"/>
        <v>N/A</v>
      </c>
      <c r="Q1211" s="128" t="s">
        <v>2528</v>
      </c>
      <c r="R1211" s="128">
        <v>32.9</v>
      </c>
      <c r="S1211" s="128">
        <v>44.1</v>
      </c>
      <c r="T1211" s="130"/>
      <c r="U1211" s="131"/>
    </row>
    <row r="1212" spans="1:21" ht="15.75" hidden="1" thickBot="1">
      <c r="A1212" s="45">
        <v>1330</v>
      </c>
      <c r="B1212" s="123"/>
      <c r="C1212" s="123"/>
      <c r="D1212" s="123"/>
      <c r="E1212" s="123"/>
      <c r="F1212" s="123"/>
      <c r="G1212" s="127" t="s">
        <v>292</v>
      </c>
      <c r="H1212" s="128">
        <v>2000</v>
      </c>
      <c r="I1212" s="128" t="s">
        <v>91</v>
      </c>
      <c r="J1212" s="128">
        <f t="shared" si="36"/>
        <v>3</v>
      </c>
      <c r="K1212" s="128" t="s">
        <v>2529</v>
      </c>
      <c r="L1212" s="128" t="s">
        <v>40</v>
      </c>
      <c r="M1212" s="129" t="s">
        <v>1065</v>
      </c>
      <c r="N1212" s="129" t="s">
        <v>28</v>
      </c>
      <c r="O1212" s="129" t="s">
        <v>28</v>
      </c>
      <c r="P1212" s="129" t="str">
        <f t="shared" si="37"/>
        <v>N/A</v>
      </c>
      <c r="Q1212" s="128" t="s">
        <v>2530</v>
      </c>
      <c r="R1212" s="128">
        <v>18.5</v>
      </c>
      <c r="S1212" s="130"/>
      <c r="T1212" s="130"/>
      <c r="U1212" s="131"/>
    </row>
    <row r="1213" spans="1:21" ht="15.75" hidden="1" thickBot="1">
      <c r="A1213" s="45">
        <v>1331</v>
      </c>
      <c r="B1213" s="123"/>
      <c r="C1213" s="123"/>
      <c r="D1213" s="123"/>
      <c r="E1213" s="123"/>
      <c r="F1213" s="123"/>
      <c r="G1213" s="127" t="s">
        <v>292</v>
      </c>
      <c r="H1213" s="128">
        <v>2000</v>
      </c>
      <c r="I1213" s="128" t="s">
        <v>79</v>
      </c>
      <c r="J1213" s="128">
        <f t="shared" si="36"/>
        <v>6</v>
      </c>
      <c r="K1213" s="128" t="s">
        <v>308</v>
      </c>
      <c r="L1213" s="128" t="s">
        <v>30</v>
      </c>
      <c r="M1213" s="129" t="s">
        <v>31</v>
      </c>
      <c r="N1213" s="129" t="s">
        <v>32</v>
      </c>
      <c r="O1213" s="129" t="s">
        <v>28</v>
      </c>
      <c r="P1213" s="129" t="str">
        <f t="shared" si="37"/>
        <v>N/A</v>
      </c>
      <c r="Q1213" s="130"/>
      <c r="R1213" s="128">
        <v>42.7</v>
      </c>
      <c r="S1213" s="128">
        <v>60</v>
      </c>
      <c r="T1213" s="130"/>
      <c r="U1213" s="131"/>
    </row>
    <row r="1214" spans="1:21" ht="15.75" hidden="1" thickBot="1">
      <c r="A1214" s="45">
        <v>1331</v>
      </c>
      <c r="B1214" s="123"/>
      <c r="C1214" s="123"/>
      <c r="D1214" s="123"/>
      <c r="E1214" s="123"/>
      <c r="F1214" s="123"/>
      <c r="G1214" s="127" t="s">
        <v>292</v>
      </c>
      <c r="H1214" s="128">
        <v>2000</v>
      </c>
      <c r="I1214" s="128" t="s">
        <v>79</v>
      </c>
      <c r="J1214" s="128">
        <f t="shared" si="36"/>
        <v>6</v>
      </c>
      <c r="K1214" s="128" t="s">
        <v>2531</v>
      </c>
      <c r="L1214" s="128" t="s">
        <v>30</v>
      </c>
      <c r="M1214" s="129" t="s">
        <v>31</v>
      </c>
      <c r="N1214" s="129" t="s">
        <v>28</v>
      </c>
      <c r="O1214" s="129" t="s">
        <v>28</v>
      </c>
      <c r="P1214" s="129" t="str">
        <f t="shared" si="37"/>
        <v>N/A</v>
      </c>
      <c r="Q1214" s="130"/>
      <c r="R1214" s="128">
        <v>6.9</v>
      </c>
      <c r="S1214" s="130"/>
      <c r="T1214" s="130" t="s">
        <v>31</v>
      </c>
      <c r="U1214" s="131"/>
    </row>
    <row r="1215" spans="1:21" ht="15.75" hidden="1" thickBot="1">
      <c r="A1215" s="45">
        <v>1331</v>
      </c>
      <c r="B1215" s="123"/>
      <c r="C1215" s="123"/>
      <c r="D1215" s="123"/>
      <c r="E1215" s="123"/>
      <c r="F1215" s="123"/>
      <c r="G1215" s="127" t="s">
        <v>292</v>
      </c>
      <c r="H1215" s="128">
        <v>2000</v>
      </c>
      <c r="I1215" s="128" t="s">
        <v>79</v>
      </c>
      <c r="J1215" s="128">
        <f t="shared" si="36"/>
        <v>6</v>
      </c>
      <c r="K1215" s="128" t="s">
        <v>2532</v>
      </c>
      <c r="L1215" s="128" t="s">
        <v>30</v>
      </c>
      <c r="M1215" s="129" t="s">
        <v>1003</v>
      </c>
      <c r="N1215" s="129" t="s">
        <v>28</v>
      </c>
      <c r="O1215" s="129" t="s">
        <v>28</v>
      </c>
      <c r="P1215" s="129" t="str">
        <f t="shared" si="37"/>
        <v>N/A</v>
      </c>
      <c r="Q1215" s="128" t="s">
        <v>1004</v>
      </c>
      <c r="R1215" s="128">
        <v>8.6</v>
      </c>
      <c r="S1215" s="130"/>
      <c r="T1215" s="130"/>
      <c r="U1215" s="131"/>
    </row>
    <row r="1216" spans="1:21" ht="15.75" hidden="1" thickBot="1">
      <c r="A1216" s="45">
        <v>1331</v>
      </c>
      <c r="B1216" s="123"/>
      <c r="C1216" s="123"/>
      <c r="D1216" s="123"/>
      <c r="E1216" s="123"/>
      <c r="F1216" s="123"/>
      <c r="G1216" s="127" t="s">
        <v>292</v>
      </c>
      <c r="H1216" s="128">
        <v>2000</v>
      </c>
      <c r="I1216" s="128" t="s">
        <v>79</v>
      </c>
      <c r="J1216" s="128">
        <f t="shared" si="36"/>
        <v>6</v>
      </c>
      <c r="K1216" s="128" t="s">
        <v>2533</v>
      </c>
      <c r="L1216" s="128" t="s">
        <v>30</v>
      </c>
      <c r="M1216" s="129" t="s">
        <v>1065</v>
      </c>
      <c r="N1216" s="129" t="s">
        <v>28</v>
      </c>
      <c r="O1216" s="129" t="s">
        <v>28</v>
      </c>
      <c r="P1216" s="129" t="str">
        <f t="shared" si="37"/>
        <v>N/A</v>
      </c>
      <c r="Q1216" s="130"/>
      <c r="R1216" s="128">
        <v>11.2</v>
      </c>
      <c r="S1216" s="130"/>
      <c r="T1216" s="130" t="s">
        <v>31</v>
      </c>
      <c r="U1216" s="131"/>
    </row>
    <row r="1217" spans="1:21" ht="15.75" hidden="1" thickBot="1">
      <c r="A1217" s="45">
        <v>1331</v>
      </c>
      <c r="B1217" s="123"/>
      <c r="C1217" s="123"/>
      <c r="D1217" s="123"/>
      <c r="E1217" s="123"/>
      <c r="F1217" s="123"/>
      <c r="G1217" s="127" t="s">
        <v>292</v>
      </c>
      <c r="H1217" s="128">
        <v>2000</v>
      </c>
      <c r="I1217" s="128" t="s">
        <v>79</v>
      </c>
      <c r="J1217" s="128">
        <f t="shared" si="36"/>
        <v>6</v>
      </c>
      <c r="K1217" s="128" t="s">
        <v>2534</v>
      </c>
      <c r="L1217" s="128" t="s">
        <v>30</v>
      </c>
      <c r="M1217" s="129" t="s">
        <v>31</v>
      </c>
      <c r="N1217" s="129" t="s">
        <v>28</v>
      </c>
      <c r="O1217" s="129" t="s">
        <v>28</v>
      </c>
      <c r="P1217" s="129" t="str">
        <f t="shared" si="37"/>
        <v>N/A</v>
      </c>
      <c r="Q1217" s="128" t="s">
        <v>2535</v>
      </c>
      <c r="R1217" s="128">
        <v>3.3</v>
      </c>
      <c r="S1217" s="130"/>
      <c r="T1217" s="130"/>
      <c r="U1217" s="131"/>
    </row>
    <row r="1218" spans="1:21" ht="15.75" hidden="1" thickBot="1">
      <c r="A1218" s="45">
        <v>1331</v>
      </c>
      <c r="B1218" s="123"/>
      <c r="C1218" s="123"/>
      <c r="D1218" s="123"/>
      <c r="E1218" s="123"/>
      <c r="F1218" s="123"/>
      <c r="G1218" s="127" t="s">
        <v>292</v>
      </c>
      <c r="H1218" s="128">
        <v>2000</v>
      </c>
      <c r="I1218" s="128" t="s">
        <v>79</v>
      </c>
      <c r="J1218" s="128">
        <f t="shared" ref="J1218:J1281" si="38">COUNTIF(A$2:A$2215, A1218)</f>
        <v>6</v>
      </c>
      <c r="K1218" s="128" t="s">
        <v>303</v>
      </c>
      <c r="L1218" s="128" t="s">
        <v>30</v>
      </c>
      <c r="M1218" s="129" t="s">
        <v>34</v>
      </c>
      <c r="N1218" s="129" t="s">
        <v>28</v>
      </c>
      <c r="O1218" s="129" t="s">
        <v>28</v>
      </c>
      <c r="P1218" s="129" t="str">
        <f t="shared" si="37"/>
        <v>N/A</v>
      </c>
      <c r="Q1218" s="130"/>
      <c r="R1218" s="128">
        <v>27.3</v>
      </c>
      <c r="S1218" s="128">
        <v>40</v>
      </c>
      <c r="T1218" s="130"/>
      <c r="U1218" s="131"/>
    </row>
    <row r="1219" spans="1:21" ht="15.75" hidden="1" thickBot="1">
      <c r="A1219" s="45">
        <v>1332</v>
      </c>
      <c r="B1219" s="123"/>
      <c r="C1219" s="123"/>
      <c r="D1219" s="123"/>
      <c r="E1219" s="123"/>
      <c r="F1219" s="123"/>
      <c r="G1219" s="127" t="s">
        <v>292</v>
      </c>
      <c r="H1219" s="128">
        <v>2000</v>
      </c>
      <c r="I1219" s="128" t="s">
        <v>100</v>
      </c>
      <c r="J1219" s="128">
        <f t="shared" si="38"/>
        <v>6</v>
      </c>
      <c r="K1219" s="128" t="s">
        <v>2491</v>
      </c>
      <c r="L1219" s="128" t="s">
        <v>30</v>
      </c>
      <c r="M1219" s="129" t="s">
        <v>174</v>
      </c>
      <c r="N1219" s="129" t="s">
        <v>28</v>
      </c>
      <c r="O1219" s="129" t="s">
        <v>28</v>
      </c>
      <c r="P1219" s="129" t="str">
        <f t="shared" ref="P1219:P1282" si="39">IF(O1219="N", "N/A", IF(AND(N1219="N",  O1219="Y"), "N", IF(AND(O1219="Y", N1219="Y"), "Y", "")))</f>
        <v>N/A</v>
      </c>
      <c r="Q1219" s="130"/>
      <c r="R1219" s="128">
        <v>4.2</v>
      </c>
      <c r="S1219" s="130"/>
      <c r="T1219" s="130" t="s">
        <v>1015</v>
      </c>
      <c r="U1219" s="131" t="s">
        <v>2492</v>
      </c>
    </row>
    <row r="1220" spans="1:21" ht="15.75" hidden="1" thickBot="1">
      <c r="A1220" s="45">
        <v>1332</v>
      </c>
      <c r="B1220" s="123"/>
      <c r="C1220" s="123"/>
      <c r="D1220" s="123"/>
      <c r="E1220" s="123"/>
      <c r="F1220" s="123"/>
      <c r="G1220" s="127" t="s">
        <v>292</v>
      </c>
      <c r="H1220" s="128">
        <v>2000</v>
      </c>
      <c r="I1220" s="128" t="s">
        <v>100</v>
      </c>
      <c r="J1220" s="128">
        <f t="shared" si="38"/>
        <v>6</v>
      </c>
      <c r="K1220" s="128" t="s">
        <v>2536</v>
      </c>
      <c r="L1220" s="128" t="s">
        <v>30</v>
      </c>
      <c r="M1220" s="129" t="s">
        <v>1003</v>
      </c>
      <c r="N1220" s="129" t="s">
        <v>28</v>
      </c>
      <c r="O1220" s="129" t="s">
        <v>28</v>
      </c>
      <c r="P1220" s="129" t="str">
        <f t="shared" si="39"/>
        <v>N/A</v>
      </c>
      <c r="Q1220" s="128" t="s">
        <v>1004</v>
      </c>
      <c r="R1220" s="128">
        <v>3.1</v>
      </c>
      <c r="S1220" s="130"/>
      <c r="T1220" s="130" t="s">
        <v>1069</v>
      </c>
      <c r="U1220" s="131"/>
    </row>
    <row r="1221" spans="1:21" ht="15.75" hidden="1" thickBot="1">
      <c r="A1221" s="45">
        <v>1332</v>
      </c>
      <c r="B1221" s="123"/>
      <c r="C1221" s="123"/>
      <c r="D1221" s="123"/>
      <c r="E1221" s="123"/>
      <c r="F1221" s="123"/>
      <c r="G1221" s="127" t="s">
        <v>292</v>
      </c>
      <c r="H1221" s="128">
        <v>2000</v>
      </c>
      <c r="I1221" s="128" t="s">
        <v>100</v>
      </c>
      <c r="J1221" s="128">
        <f t="shared" si="38"/>
        <v>6</v>
      </c>
      <c r="K1221" s="128" t="s">
        <v>2537</v>
      </c>
      <c r="L1221" s="128" t="s">
        <v>30</v>
      </c>
      <c r="M1221" s="129" t="s">
        <v>31</v>
      </c>
      <c r="N1221" s="129" t="s">
        <v>28</v>
      </c>
      <c r="O1221" s="129" t="s">
        <v>28</v>
      </c>
      <c r="P1221" s="129" t="str">
        <f t="shared" si="39"/>
        <v>N/A</v>
      </c>
      <c r="Q1221" s="130"/>
      <c r="R1221" s="128">
        <v>17</v>
      </c>
      <c r="S1221" s="130"/>
      <c r="T1221" s="130"/>
      <c r="U1221" s="131"/>
    </row>
    <row r="1222" spans="1:21" ht="15.75" hidden="1" thickBot="1">
      <c r="A1222" s="45">
        <v>1332</v>
      </c>
      <c r="B1222" s="123"/>
      <c r="C1222" s="123"/>
      <c r="D1222" s="123"/>
      <c r="E1222" s="123"/>
      <c r="F1222" s="123"/>
      <c r="G1222" s="127" t="s">
        <v>292</v>
      </c>
      <c r="H1222" s="128">
        <v>2000</v>
      </c>
      <c r="I1222" s="128" t="s">
        <v>100</v>
      </c>
      <c r="J1222" s="128">
        <f t="shared" si="38"/>
        <v>6</v>
      </c>
      <c r="K1222" s="128" t="s">
        <v>317</v>
      </c>
      <c r="L1222" s="128" t="s">
        <v>30</v>
      </c>
      <c r="M1222" s="129" t="s">
        <v>31</v>
      </c>
      <c r="N1222" s="129" t="s">
        <v>32</v>
      </c>
      <c r="O1222" s="129" t="s">
        <v>28</v>
      </c>
      <c r="P1222" s="129" t="str">
        <f t="shared" si="39"/>
        <v>N/A</v>
      </c>
      <c r="Q1222" s="130"/>
      <c r="R1222" s="128">
        <v>38.6</v>
      </c>
      <c r="S1222" s="128">
        <v>53.8</v>
      </c>
      <c r="T1222" s="130"/>
      <c r="U1222" s="131"/>
    </row>
    <row r="1223" spans="1:21" ht="15.75" hidden="1" thickBot="1">
      <c r="A1223" s="45">
        <v>1332</v>
      </c>
      <c r="B1223" s="123"/>
      <c r="C1223" s="123"/>
      <c r="D1223" s="123"/>
      <c r="E1223" s="123"/>
      <c r="F1223" s="123"/>
      <c r="G1223" s="127" t="s">
        <v>292</v>
      </c>
      <c r="H1223" s="128">
        <v>2000</v>
      </c>
      <c r="I1223" s="128" t="s">
        <v>100</v>
      </c>
      <c r="J1223" s="128">
        <f t="shared" si="38"/>
        <v>6</v>
      </c>
      <c r="K1223" s="128" t="s">
        <v>2538</v>
      </c>
      <c r="L1223" s="128" t="s">
        <v>40</v>
      </c>
      <c r="M1223" s="129" t="s">
        <v>31</v>
      </c>
      <c r="N1223" s="129" t="s">
        <v>28</v>
      </c>
      <c r="O1223" s="129" t="s">
        <v>28</v>
      </c>
      <c r="P1223" s="129" t="str">
        <f t="shared" si="39"/>
        <v>N/A</v>
      </c>
      <c r="Q1223" s="128" t="s">
        <v>2539</v>
      </c>
      <c r="R1223" s="128">
        <v>32.799999999999997</v>
      </c>
      <c r="S1223" s="128">
        <v>46.2</v>
      </c>
      <c r="T1223" s="130"/>
      <c r="U1223" s="131"/>
    </row>
    <row r="1224" spans="1:21" ht="15.75" hidden="1" thickBot="1">
      <c r="A1224" s="45">
        <v>1332</v>
      </c>
      <c r="B1224" s="123"/>
      <c r="C1224" s="123"/>
      <c r="D1224" s="123"/>
      <c r="E1224" s="123"/>
      <c r="F1224" s="123"/>
      <c r="G1224" s="127" t="s">
        <v>292</v>
      </c>
      <c r="H1224" s="128">
        <v>2000</v>
      </c>
      <c r="I1224" s="128" t="s">
        <v>100</v>
      </c>
      <c r="J1224" s="128">
        <f t="shared" si="38"/>
        <v>6</v>
      </c>
      <c r="K1224" s="128" t="s">
        <v>2540</v>
      </c>
      <c r="L1224" s="128" t="s">
        <v>30</v>
      </c>
      <c r="M1224" s="129" t="s">
        <v>1003</v>
      </c>
      <c r="N1224" s="129" t="s">
        <v>28</v>
      </c>
      <c r="O1224" s="129" t="s">
        <v>28</v>
      </c>
      <c r="P1224" s="129" t="str">
        <f t="shared" si="39"/>
        <v>N/A</v>
      </c>
      <c r="Q1224" s="128" t="s">
        <v>1004</v>
      </c>
      <c r="R1224" s="128">
        <v>4.4000000000000004</v>
      </c>
      <c r="S1224" s="130"/>
      <c r="T1224" s="130"/>
      <c r="U1224" s="131"/>
    </row>
    <row r="1225" spans="1:21" ht="15.75" hidden="1" thickBot="1">
      <c r="A1225" s="45">
        <v>1333</v>
      </c>
      <c r="B1225" s="123"/>
      <c r="C1225" s="123"/>
      <c r="D1225" s="123"/>
      <c r="E1225" s="123"/>
      <c r="F1225" s="123"/>
      <c r="G1225" s="127" t="s">
        <v>292</v>
      </c>
      <c r="H1225" s="128">
        <v>2000</v>
      </c>
      <c r="I1225" s="128" t="s">
        <v>85</v>
      </c>
      <c r="J1225" s="128">
        <f t="shared" si="38"/>
        <v>4</v>
      </c>
      <c r="K1225" s="128" t="s">
        <v>318</v>
      </c>
      <c r="L1225" s="128" t="s">
        <v>30</v>
      </c>
      <c r="M1225" s="129" t="s">
        <v>31</v>
      </c>
      <c r="N1225" s="129" t="s">
        <v>32</v>
      </c>
      <c r="O1225" s="129" t="s">
        <v>28</v>
      </c>
      <c r="P1225" s="129" t="str">
        <f t="shared" si="39"/>
        <v>N/A</v>
      </c>
      <c r="Q1225" s="130"/>
      <c r="R1225" s="128">
        <v>45.8</v>
      </c>
      <c r="S1225" s="128">
        <v>64.2</v>
      </c>
      <c r="T1225" s="130"/>
      <c r="U1225" s="131"/>
    </row>
    <row r="1226" spans="1:21" ht="15.75" hidden="1" thickBot="1">
      <c r="A1226" s="45">
        <v>1333</v>
      </c>
      <c r="B1226" s="123"/>
      <c r="C1226" s="123"/>
      <c r="D1226" s="123"/>
      <c r="E1226" s="123"/>
      <c r="F1226" s="123"/>
      <c r="G1226" s="127" t="s">
        <v>292</v>
      </c>
      <c r="H1226" s="128">
        <v>2000</v>
      </c>
      <c r="I1226" s="128" t="s">
        <v>85</v>
      </c>
      <c r="J1226" s="128">
        <f t="shared" si="38"/>
        <v>4</v>
      </c>
      <c r="K1226" s="128" t="s">
        <v>2541</v>
      </c>
      <c r="L1226" s="128" t="s">
        <v>30</v>
      </c>
      <c r="M1226" s="129" t="s">
        <v>1065</v>
      </c>
      <c r="N1226" s="129" t="s">
        <v>28</v>
      </c>
      <c r="O1226" s="129" t="s">
        <v>28</v>
      </c>
      <c r="P1226" s="129" t="str">
        <f t="shared" si="39"/>
        <v>N/A</v>
      </c>
      <c r="Q1226" s="128" t="s">
        <v>2542</v>
      </c>
      <c r="R1226" s="128">
        <v>23</v>
      </c>
      <c r="S1226" s="128">
        <v>35.799999999999997</v>
      </c>
      <c r="T1226" s="130" t="s">
        <v>31</v>
      </c>
      <c r="U1226" s="131"/>
    </row>
    <row r="1227" spans="1:21" ht="15.75" hidden="1" thickBot="1">
      <c r="A1227" s="45">
        <v>1333</v>
      </c>
      <c r="B1227" s="123"/>
      <c r="C1227" s="123"/>
      <c r="D1227" s="123"/>
      <c r="E1227" s="123"/>
      <c r="F1227" s="123"/>
      <c r="G1227" s="127" t="s">
        <v>292</v>
      </c>
      <c r="H1227" s="128">
        <v>2000</v>
      </c>
      <c r="I1227" s="128" t="s">
        <v>85</v>
      </c>
      <c r="J1227" s="128">
        <f t="shared" si="38"/>
        <v>4</v>
      </c>
      <c r="K1227" s="128" t="s">
        <v>2543</v>
      </c>
      <c r="L1227" s="128" t="s">
        <v>40</v>
      </c>
      <c r="M1227" s="129" t="s">
        <v>1065</v>
      </c>
      <c r="N1227" s="129" t="s">
        <v>28</v>
      </c>
      <c r="O1227" s="129" t="s">
        <v>28</v>
      </c>
      <c r="P1227" s="129" t="str">
        <f t="shared" si="39"/>
        <v>N/A</v>
      </c>
      <c r="Q1227" s="128" t="s">
        <v>2544</v>
      </c>
      <c r="R1227" s="128">
        <v>16.399999999999999</v>
      </c>
      <c r="S1227" s="130"/>
      <c r="T1227" s="130"/>
      <c r="U1227" s="131"/>
    </row>
    <row r="1228" spans="1:21" ht="15.75" hidden="1" thickBot="1">
      <c r="A1228" s="45">
        <v>1333</v>
      </c>
      <c r="B1228" s="123"/>
      <c r="C1228" s="123"/>
      <c r="D1228" s="123"/>
      <c r="E1228" s="123"/>
      <c r="F1228" s="123"/>
      <c r="G1228" s="127" t="s">
        <v>292</v>
      </c>
      <c r="H1228" s="128">
        <v>2000</v>
      </c>
      <c r="I1228" s="128" t="s">
        <v>85</v>
      </c>
      <c r="J1228" s="128">
        <f t="shared" si="38"/>
        <v>4</v>
      </c>
      <c r="K1228" s="128" t="s">
        <v>2465</v>
      </c>
      <c r="L1228" s="128" t="s">
        <v>40</v>
      </c>
      <c r="M1228" s="129" t="s">
        <v>1065</v>
      </c>
      <c r="N1228" s="129" t="s">
        <v>28</v>
      </c>
      <c r="O1228" s="129" t="s">
        <v>28</v>
      </c>
      <c r="P1228" s="129" t="str">
        <f t="shared" si="39"/>
        <v>N/A</v>
      </c>
      <c r="Q1228" s="130"/>
      <c r="R1228" s="128">
        <v>14.8</v>
      </c>
      <c r="S1228" s="130"/>
      <c r="T1228" s="130"/>
      <c r="U1228" s="131"/>
    </row>
    <row r="1229" spans="1:21" ht="15.75" hidden="1" thickBot="1">
      <c r="A1229" s="45">
        <v>1334</v>
      </c>
      <c r="B1229" s="123"/>
      <c r="C1229" s="123"/>
      <c r="D1229" s="123"/>
      <c r="E1229" s="123"/>
      <c r="F1229" s="123"/>
      <c r="G1229" s="127" t="s">
        <v>292</v>
      </c>
      <c r="H1229" s="128">
        <v>2000</v>
      </c>
      <c r="I1229" s="128" t="s">
        <v>306</v>
      </c>
      <c r="J1229" s="128">
        <f t="shared" si="38"/>
        <v>3</v>
      </c>
      <c r="K1229" s="128" t="s">
        <v>312</v>
      </c>
      <c r="L1229" s="128" t="s">
        <v>40</v>
      </c>
      <c r="M1229" s="129" t="s">
        <v>31</v>
      </c>
      <c r="N1229" s="129" t="s">
        <v>28</v>
      </c>
      <c r="O1229" s="129" t="s">
        <v>28</v>
      </c>
      <c r="P1229" s="129" t="str">
        <f t="shared" si="39"/>
        <v>N/A</v>
      </c>
      <c r="Q1229" s="130"/>
      <c r="R1229" s="128">
        <v>23.7</v>
      </c>
      <c r="S1229" s="130"/>
      <c r="T1229" s="130" t="s">
        <v>998</v>
      </c>
      <c r="U1229" s="131"/>
    </row>
    <row r="1230" spans="1:21" ht="15.75" hidden="1" thickBot="1">
      <c r="A1230" s="45">
        <v>1334</v>
      </c>
      <c r="B1230" s="123"/>
      <c r="C1230" s="123"/>
      <c r="D1230" s="123"/>
      <c r="E1230" s="123"/>
      <c r="F1230" s="123"/>
      <c r="G1230" s="127" t="s">
        <v>292</v>
      </c>
      <c r="H1230" s="128">
        <v>2000</v>
      </c>
      <c r="I1230" s="128" t="s">
        <v>306</v>
      </c>
      <c r="J1230" s="128">
        <f t="shared" si="38"/>
        <v>3</v>
      </c>
      <c r="K1230" s="128" t="s">
        <v>323</v>
      </c>
      <c r="L1230" s="128" t="s">
        <v>40</v>
      </c>
      <c r="M1230" s="129" t="s">
        <v>31</v>
      </c>
      <c r="N1230" s="129" t="s">
        <v>32</v>
      </c>
      <c r="O1230" s="129" t="s">
        <v>32</v>
      </c>
      <c r="P1230" s="129" t="str">
        <f t="shared" si="39"/>
        <v>Y</v>
      </c>
      <c r="Q1230" s="128" t="s">
        <v>2545</v>
      </c>
      <c r="R1230" s="128">
        <v>72.400000000000006</v>
      </c>
      <c r="S1230" s="130"/>
      <c r="T1230" s="130"/>
      <c r="U1230" s="131"/>
    </row>
    <row r="1231" spans="1:21" ht="15.75" hidden="1" thickBot="1">
      <c r="A1231" s="45">
        <v>1334</v>
      </c>
      <c r="B1231" s="123"/>
      <c r="C1231" s="123"/>
      <c r="D1231" s="123"/>
      <c r="E1231" s="123"/>
      <c r="F1231" s="123"/>
      <c r="G1231" s="127" t="s">
        <v>292</v>
      </c>
      <c r="H1231" s="128">
        <v>2000</v>
      </c>
      <c r="I1231" s="128" t="s">
        <v>306</v>
      </c>
      <c r="J1231" s="128">
        <f t="shared" si="38"/>
        <v>3</v>
      </c>
      <c r="K1231" s="128" t="s">
        <v>2546</v>
      </c>
      <c r="L1231" s="128" t="s">
        <v>30</v>
      </c>
      <c r="M1231" s="129" t="s">
        <v>31</v>
      </c>
      <c r="N1231" s="129" t="s">
        <v>28</v>
      </c>
      <c r="O1231" s="129" t="s">
        <v>28</v>
      </c>
      <c r="P1231" s="129" t="str">
        <f t="shared" si="39"/>
        <v>N/A</v>
      </c>
      <c r="Q1231" s="130"/>
      <c r="R1231" s="128">
        <v>4</v>
      </c>
      <c r="S1231" s="130"/>
      <c r="T1231" s="130" t="s">
        <v>1015</v>
      </c>
      <c r="U1231" s="131"/>
    </row>
    <row r="1232" spans="1:21" ht="15.75" hidden="1" thickBot="1">
      <c r="A1232" s="45">
        <v>1324</v>
      </c>
      <c r="B1232" s="123"/>
      <c r="C1232" s="123"/>
      <c r="D1232" s="123"/>
      <c r="E1232" s="123"/>
      <c r="F1232" s="123"/>
      <c r="G1232" s="127" t="s">
        <v>292</v>
      </c>
      <c r="H1232" s="128">
        <v>2002</v>
      </c>
      <c r="I1232" s="128" t="s">
        <v>38</v>
      </c>
      <c r="J1232" s="128">
        <f t="shared" si="38"/>
        <v>6</v>
      </c>
      <c r="K1232" s="128" t="s">
        <v>2491</v>
      </c>
      <c r="L1232" s="128" t="s">
        <v>30</v>
      </c>
      <c r="M1232" s="129" t="s">
        <v>174</v>
      </c>
      <c r="N1232" s="129" t="s">
        <v>28</v>
      </c>
      <c r="O1232" s="129" t="s">
        <v>28</v>
      </c>
      <c r="P1232" s="129" t="str">
        <f t="shared" si="39"/>
        <v>N/A</v>
      </c>
      <c r="Q1232" s="130"/>
      <c r="R1232" s="128">
        <v>5.8</v>
      </c>
      <c r="S1232" s="130"/>
      <c r="T1232" s="130"/>
      <c r="U1232" s="131" t="s">
        <v>2492</v>
      </c>
    </row>
    <row r="1233" spans="1:21" ht="15.75" hidden="1" thickBot="1">
      <c r="A1233" s="45">
        <v>1324</v>
      </c>
      <c r="B1233" s="123"/>
      <c r="C1233" s="123"/>
      <c r="D1233" s="123"/>
      <c r="E1233" s="123"/>
      <c r="F1233" s="123"/>
      <c r="G1233" s="127" t="s">
        <v>292</v>
      </c>
      <c r="H1233" s="128">
        <v>2002</v>
      </c>
      <c r="I1233" s="128" t="s">
        <v>38</v>
      </c>
      <c r="J1233" s="128">
        <f t="shared" si="38"/>
        <v>6</v>
      </c>
      <c r="K1233" s="128" t="s">
        <v>2531</v>
      </c>
      <c r="L1233" s="128" t="s">
        <v>30</v>
      </c>
      <c r="M1233" s="129" t="s">
        <v>31</v>
      </c>
      <c r="N1233" s="129" t="s">
        <v>28</v>
      </c>
      <c r="O1233" s="129" t="s">
        <v>28</v>
      </c>
      <c r="P1233" s="129" t="str">
        <f t="shared" si="39"/>
        <v>N/A</v>
      </c>
      <c r="Q1233" s="128" t="s">
        <v>2547</v>
      </c>
      <c r="R1233" s="128">
        <v>6.1</v>
      </c>
      <c r="S1233" s="130"/>
      <c r="T1233" s="130"/>
      <c r="U1233" s="131"/>
    </row>
    <row r="1234" spans="1:21" ht="15.75" hidden="1" thickBot="1">
      <c r="A1234" s="45">
        <v>1324</v>
      </c>
      <c r="B1234" s="123"/>
      <c r="C1234" s="123"/>
      <c r="D1234" s="123"/>
      <c r="E1234" s="123"/>
      <c r="F1234" s="123"/>
      <c r="G1234" s="127" t="s">
        <v>292</v>
      </c>
      <c r="H1234" s="128">
        <v>2002</v>
      </c>
      <c r="I1234" s="128" t="s">
        <v>38</v>
      </c>
      <c r="J1234" s="128">
        <f t="shared" si="38"/>
        <v>6</v>
      </c>
      <c r="K1234" s="128" t="s">
        <v>2548</v>
      </c>
      <c r="L1234" s="128" t="s">
        <v>30</v>
      </c>
      <c r="M1234" s="129" t="s">
        <v>31</v>
      </c>
      <c r="N1234" s="129" t="s">
        <v>28</v>
      </c>
      <c r="O1234" s="129" t="s">
        <v>28</v>
      </c>
      <c r="P1234" s="129" t="str">
        <f t="shared" si="39"/>
        <v>N/A</v>
      </c>
      <c r="Q1234" s="128" t="s">
        <v>1004</v>
      </c>
      <c r="R1234" s="128">
        <v>13.3</v>
      </c>
      <c r="S1234" s="130"/>
      <c r="T1234" s="130"/>
      <c r="U1234" s="131"/>
    </row>
    <row r="1235" spans="1:21" ht="15.75" hidden="1" thickBot="1">
      <c r="A1235" s="45">
        <v>1324</v>
      </c>
      <c r="B1235" s="123"/>
      <c r="C1235" s="123"/>
      <c r="D1235" s="123"/>
      <c r="E1235" s="123"/>
      <c r="F1235" s="123"/>
      <c r="G1235" s="127" t="s">
        <v>292</v>
      </c>
      <c r="H1235" s="128">
        <v>2002</v>
      </c>
      <c r="I1235" s="128" t="s">
        <v>38</v>
      </c>
      <c r="J1235" s="128">
        <f t="shared" si="38"/>
        <v>6</v>
      </c>
      <c r="K1235" s="128" t="s">
        <v>2549</v>
      </c>
      <c r="L1235" s="128" t="s">
        <v>30</v>
      </c>
      <c r="M1235" s="129" t="s">
        <v>1065</v>
      </c>
      <c r="N1235" s="129" t="s">
        <v>28</v>
      </c>
      <c r="O1235" s="129" t="s">
        <v>28</v>
      </c>
      <c r="P1235" s="129" t="str">
        <f t="shared" si="39"/>
        <v>N/A</v>
      </c>
      <c r="Q1235" s="130"/>
      <c r="R1235" s="128">
        <v>7.6</v>
      </c>
      <c r="S1235" s="130"/>
      <c r="T1235" s="130"/>
      <c r="U1235" s="131"/>
    </row>
    <row r="1236" spans="1:21" ht="15.75" hidden="1" thickBot="1">
      <c r="A1236" s="45">
        <v>1324</v>
      </c>
      <c r="B1236" s="123"/>
      <c r="C1236" s="123"/>
      <c r="D1236" s="123"/>
      <c r="E1236" s="123"/>
      <c r="F1236" s="123"/>
      <c r="G1236" s="127" t="s">
        <v>292</v>
      </c>
      <c r="H1236" s="128">
        <v>2002</v>
      </c>
      <c r="I1236" s="128" t="s">
        <v>38</v>
      </c>
      <c r="J1236" s="128">
        <f t="shared" si="38"/>
        <v>6</v>
      </c>
      <c r="K1236" s="128" t="s">
        <v>2465</v>
      </c>
      <c r="L1236" s="128" t="s">
        <v>40</v>
      </c>
      <c r="M1236" s="129" t="s">
        <v>1065</v>
      </c>
      <c r="N1236" s="129" t="s">
        <v>28</v>
      </c>
      <c r="O1236" s="129" t="s">
        <v>28</v>
      </c>
      <c r="P1236" s="129" t="str">
        <f t="shared" si="39"/>
        <v>N/A</v>
      </c>
      <c r="Q1236" s="130"/>
      <c r="R1236" s="128">
        <v>10.8</v>
      </c>
      <c r="S1236" s="130"/>
      <c r="T1236" s="130" t="s">
        <v>1069</v>
      </c>
      <c r="U1236" s="131"/>
    </row>
    <row r="1237" spans="1:21" ht="15.75" hidden="1" thickBot="1">
      <c r="A1237" s="45">
        <v>1324</v>
      </c>
      <c r="B1237" s="123"/>
      <c r="C1237" s="123"/>
      <c r="D1237" s="123"/>
      <c r="E1237" s="123"/>
      <c r="F1237" s="123"/>
      <c r="G1237" s="127" t="s">
        <v>292</v>
      </c>
      <c r="H1237" s="128">
        <v>2002</v>
      </c>
      <c r="I1237" s="128" t="s">
        <v>38</v>
      </c>
      <c r="J1237" s="128">
        <f t="shared" si="38"/>
        <v>6</v>
      </c>
      <c r="K1237" s="128" t="s">
        <v>2509</v>
      </c>
      <c r="L1237" s="128" t="s">
        <v>30</v>
      </c>
      <c r="M1237" s="129" t="s">
        <v>1065</v>
      </c>
      <c r="N1237" s="129" t="s">
        <v>32</v>
      </c>
      <c r="O1237" s="129" t="s">
        <v>32</v>
      </c>
      <c r="P1237" s="129" t="str">
        <f t="shared" si="39"/>
        <v>Y</v>
      </c>
      <c r="Q1237" s="128" t="s">
        <v>2550</v>
      </c>
      <c r="R1237" s="128">
        <v>56.4</v>
      </c>
      <c r="S1237" s="130"/>
      <c r="T1237" s="130"/>
      <c r="U1237" s="131"/>
    </row>
    <row r="1238" spans="1:21" ht="15.75" hidden="1" thickBot="1">
      <c r="A1238" s="45">
        <v>1325</v>
      </c>
      <c r="B1238" s="123"/>
      <c r="C1238" s="123"/>
      <c r="D1238" s="123"/>
      <c r="E1238" s="123"/>
      <c r="F1238" s="123"/>
      <c r="G1238" s="127" t="s">
        <v>292</v>
      </c>
      <c r="H1238" s="128">
        <v>2002</v>
      </c>
      <c r="I1238" s="128" t="s">
        <v>76</v>
      </c>
      <c r="J1238" s="128">
        <f t="shared" si="38"/>
        <v>2</v>
      </c>
      <c r="K1238" s="128" t="s">
        <v>320</v>
      </c>
      <c r="L1238" s="128" t="s">
        <v>40</v>
      </c>
      <c r="M1238" s="129" t="s">
        <v>31</v>
      </c>
      <c r="N1238" s="129" t="s">
        <v>32</v>
      </c>
      <c r="O1238" s="129" t="s">
        <v>32</v>
      </c>
      <c r="P1238" s="129" t="str">
        <f t="shared" si="39"/>
        <v>Y</v>
      </c>
      <c r="Q1238" s="128" t="s">
        <v>2551</v>
      </c>
      <c r="R1238" s="128">
        <v>79.599999999999994</v>
      </c>
      <c r="S1238" s="130"/>
      <c r="T1238" s="130" t="s">
        <v>1015</v>
      </c>
      <c r="U1238" s="131"/>
    </row>
    <row r="1239" spans="1:21" ht="15.75" hidden="1" thickBot="1">
      <c r="A1239" s="45">
        <v>1325</v>
      </c>
      <c r="B1239" s="123"/>
      <c r="C1239" s="123"/>
      <c r="D1239" s="123"/>
      <c r="E1239" s="123"/>
      <c r="F1239" s="123"/>
      <c r="G1239" s="127" t="s">
        <v>292</v>
      </c>
      <c r="H1239" s="128">
        <v>2002</v>
      </c>
      <c r="I1239" s="128" t="s">
        <v>76</v>
      </c>
      <c r="J1239" s="128">
        <f t="shared" si="38"/>
        <v>2</v>
      </c>
      <c r="K1239" s="128" t="s">
        <v>2514</v>
      </c>
      <c r="L1239" s="128" t="s">
        <v>30</v>
      </c>
      <c r="M1239" s="129" t="s">
        <v>31</v>
      </c>
      <c r="N1239" s="129" t="s">
        <v>28</v>
      </c>
      <c r="O1239" s="129" t="s">
        <v>28</v>
      </c>
      <c r="P1239" s="129" t="str">
        <f t="shared" si="39"/>
        <v>N/A</v>
      </c>
      <c r="Q1239" s="130"/>
      <c r="R1239" s="128">
        <v>20.399999999999999</v>
      </c>
      <c r="S1239" s="130"/>
      <c r="T1239" s="130" t="s">
        <v>31</v>
      </c>
      <c r="U1239" s="131"/>
    </row>
    <row r="1240" spans="1:21" ht="15.75" hidden="1" thickBot="1">
      <c r="A1240" s="45">
        <v>1326</v>
      </c>
      <c r="B1240" s="123"/>
      <c r="C1240" s="123"/>
      <c r="D1240" s="123"/>
      <c r="E1240" s="123"/>
      <c r="F1240" s="123"/>
      <c r="G1240" s="127" t="s">
        <v>292</v>
      </c>
      <c r="H1240" s="128">
        <v>2002</v>
      </c>
      <c r="I1240" s="128" t="s">
        <v>94</v>
      </c>
      <c r="J1240" s="128">
        <f t="shared" si="38"/>
        <v>1</v>
      </c>
      <c r="K1240" s="128" t="s">
        <v>321</v>
      </c>
      <c r="L1240" s="128" t="s">
        <v>40</v>
      </c>
      <c r="M1240" s="129" t="s">
        <v>1065</v>
      </c>
      <c r="N1240" s="129" t="s">
        <v>32</v>
      </c>
      <c r="O1240" s="129" t="s">
        <v>32</v>
      </c>
      <c r="P1240" s="129" t="str">
        <f t="shared" si="39"/>
        <v>Y</v>
      </c>
      <c r="Q1240" s="130"/>
      <c r="R1240" s="128">
        <v>100</v>
      </c>
      <c r="S1240" s="130"/>
      <c r="T1240" s="130"/>
      <c r="U1240" s="131"/>
    </row>
    <row r="1241" spans="1:21" ht="15.75" hidden="1" thickBot="1">
      <c r="A1241" s="45">
        <v>1327</v>
      </c>
      <c r="B1241" s="123"/>
      <c r="C1241" s="123"/>
      <c r="D1241" s="123"/>
      <c r="E1241" s="123"/>
      <c r="F1241" s="123"/>
      <c r="G1241" s="127" t="s">
        <v>292</v>
      </c>
      <c r="H1241" s="128">
        <v>2002</v>
      </c>
      <c r="I1241" s="128" t="s">
        <v>97</v>
      </c>
      <c r="J1241" s="128">
        <f t="shared" si="38"/>
        <v>2</v>
      </c>
      <c r="K1241" s="128" t="s">
        <v>2552</v>
      </c>
      <c r="L1241" s="128" t="s">
        <v>30</v>
      </c>
      <c r="M1241" s="129" t="s">
        <v>1003</v>
      </c>
      <c r="N1241" s="129" t="s">
        <v>28</v>
      </c>
      <c r="O1241" s="129" t="s">
        <v>28</v>
      </c>
      <c r="P1241" s="129" t="str">
        <f t="shared" si="39"/>
        <v>N/A</v>
      </c>
      <c r="Q1241" s="144" t="s">
        <v>1004</v>
      </c>
      <c r="R1241" s="128">
        <v>30.1</v>
      </c>
      <c r="S1241" s="130"/>
      <c r="T1241" s="130" t="s">
        <v>31</v>
      </c>
      <c r="U1241" s="131"/>
    </row>
    <row r="1242" spans="1:21" ht="15.75" hidden="1" thickBot="1">
      <c r="A1242" s="45">
        <v>1327</v>
      </c>
      <c r="B1242" s="123"/>
      <c r="C1242" s="123"/>
      <c r="D1242" s="123"/>
      <c r="E1242" s="123"/>
      <c r="F1242" s="123"/>
      <c r="G1242" s="127" t="s">
        <v>292</v>
      </c>
      <c r="H1242" s="128">
        <v>2002</v>
      </c>
      <c r="I1242" s="128" t="s">
        <v>97</v>
      </c>
      <c r="J1242" s="128">
        <f t="shared" si="38"/>
        <v>2</v>
      </c>
      <c r="K1242" s="128" t="s">
        <v>313</v>
      </c>
      <c r="L1242" s="128" t="s">
        <v>40</v>
      </c>
      <c r="M1242" s="129" t="s">
        <v>1065</v>
      </c>
      <c r="N1242" s="129" t="s">
        <v>32</v>
      </c>
      <c r="O1242" s="129" t="s">
        <v>32</v>
      </c>
      <c r="P1242" s="129" t="str">
        <f t="shared" si="39"/>
        <v>Y</v>
      </c>
      <c r="Q1242" s="130"/>
      <c r="R1242" s="128">
        <v>69.900000000000006</v>
      </c>
      <c r="S1242" s="130"/>
      <c r="T1242" s="130"/>
      <c r="U1242" s="131"/>
    </row>
    <row r="1243" spans="1:21" ht="15.75" hidden="1" thickBot="1">
      <c r="A1243" s="45">
        <v>1328</v>
      </c>
      <c r="B1243" s="123"/>
      <c r="C1243" s="123"/>
      <c r="D1243" s="123"/>
      <c r="E1243" s="123"/>
      <c r="F1243" s="123"/>
      <c r="G1243" s="127" t="s">
        <v>292</v>
      </c>
      <c r="H1243" s="128">
        <v>2002</v>
      </c>
      <c r="I1243" s="128" t="s">
        <v>82</v>
      </c>
      <c r="J1243" s="128">
        <f t="shared" si="38"/>
        <v>5</v>
      </c>
      <c r="K1243" s="128" t="s">
        <v>2553</v>
      </c>
      <c r="L1243" s="128" t="s">
        <v>30</v>
      </c>
      <c r="M1243" s="129" t="s">
        <v>1065</v>
      </c>
      <c r="N1243" s="129" t="s">
        <v>28</v>
      </c>
      <c r="O1243" s="129" t="s">
        <v>28</v>
      </c>
      <c r="P1243" s="129" t="str">
        <f t="shared" si="39"/>
        <v>N/A</v>
      </c>
      <c r="Q1243" s="128" t="s">
        <v>2554</v>
      </c>
      <c r="R1243" s="128">
        <v>11.4</v>
      </c>
      <c r="S1243" s="130"/>
      <c r="T1243" s="130"/>
      <c r="U1243" s="131"/>
    </row>
    <row r="1244" spans="1:21" ht="15.75" hidden="1" thickBot="1">
      <c r="A1244" s="45">
        <v>1328</v>
      </c>
      <c r="B1244" s="123"/>
      <c r="C1244" s="123"/>
      <c r="D1244" s="123"/>
      <c r="E1244" s="123"/>
      <c r="F1244" s="123"/>
      <c r="G1244" s="127" t="s">
        <v>292</v>
      </c>
      <c r="H1244" s="128">
        <v>2002</v>
      </c>
      <c r="I1244" s="128" t="s">
        <v>82</v>
      </c>
      <c r="J1244" s="128">
        <f t="shared" si="38"/>
        <v>5</v>
      </c>
      <c r="K1244" s="128" t="s">
        <v>2555</v>
      </c>
      <c r="L1244" s="128" t="s">
        <v>30</v>
      </c>
      <c r="M1244" s="129" t="s">
        <v>1003</v>
      </c>
      <c r="N1244" s="129" t="s">
        <v>28</v>
      </c>
      <c r="O1244" s="129" t="s">
        <v>28</v>
      </c>
      <c r="P1244" s="129" t="str">
        <f t="shared" si="39"/>
        <v>N/A</v>
      </c>
      <c r="Q1244" s="128" t="s">
        <v>1004</v>
      </c>
      <c r="R1244" s="128">
        <v>2.8</v>
      </c>
      <c r="S1244" s="130"/>
      <c r="T1244" s="130"/>
      <c r="U1244" s="131"/>
    </row>
    <row r="1245" spans="1:21" ht="15.75" hidden="1" thickBot="1">
      <c r="A1245" s="45">
        <v>1328</v>
      </c>
      <c r="B1245" s="123"/>
      <c r="C1245" s="123"/>
      <c r="D1245" s="123"/>
      <c r="E1245" s="123"/>
      <c r="F1245" s="123"/>
      <c r="G1245" s="127" t="s">
        <v>292</v>
      </c>
      <c r="H1245" s="128">
        <v>2002</v>
      </c>
      <c r="I1245" s="128" t="s">
        <v>82</v>
      </c>
      <c r="J1245" s="128">
        <f t="shared" si="38"/>
        <v>5</v>
      </c>
      <c r="K1245" s="128" t="s">
        <v>2556</v>
      </c>
      <c r="L1245" s="128" t="s">
        <v>30</v>
      </c>
      <c r="M1245" s="129" t="s">
        <v>34</v>
      </c>
      <c r="N1245" s="129" t="s">
        <v>28</v>
      </c>
      <c r="O1245" s="129" t="s">
        <v>28</v>
      </c>
      <c r="P1245" s="129" t="str">
        <f t="shared" si="39"/>
        <v>N/A</v>
      </c>
      <c r="Q1245" s="130"/>
      <c r="R1245" s="128">
        <v>21.9</v>
      </c>
      <c r="S1245" s="130"/>
      <c r="T1245" s="130" t="s">
        <v>31</v>
      </c>
      <c r="U1245" s="131"/>
    </row>
    <row r="1246" spans="1:21" ht="15.75" hidden="1" thickBot="1">
      <c r="A1246" s="45">
        <v>1328</v>
      </c>
      <c r="B1246" s="123"/>
      <c r="C1246" s="123"/>
      <c r="D1246" s="123"/>
      <c r="E1246" s="123"/>
      <c r="F1246" s="123"/>
      <c r="G1246" s="127" t="s">
        <v>292</v>
      </c>
      <c r="H1246" s="128">
        <v>2002</v>
      </c>
      <c r="I1246" s="128" t="s">
        <v>82</v>
      </c>
      <c r="J1246" s="128">
        <f t="shared" si="38"/>
        <v>5</v>
      </c>
      <c r="K1246" s="128" t="s">
        <v>2557</v>
      </c>
      <c r="L1246" s="128" t="s">
        <v>30</v>
      </c>
      <c r="M1246" s="129" t="s">
        <v>31</v>
      </c>
      <c r="N1246" s="129" t="s">
        <v>28</v>
      </c>
      <c r="O1246" s="129" t="s">
        <v>28</v>
      </c>
      <c r="P1246" s="129" t="str">
        <f t="shared" si="39"/>
        <v>N/A</v>
      </c>
      <c r="Q1246" s="130"/>
      <c r="R1246" s="128">
        <v>31.1</v>
      </c>
      <c r="S1246" s="128">
        <v>39.4</v>
      </c>
      <c r="T1246" s="130" t="s">
        <v>31</v>
      </c>
      <c r="U1246" s="131"/>
    </row>
    <row r="1247" spans="1:21" ht="15.75" hidden="1" thickBot="1">
      <c r="A1247" s="45">
        <v>1328</v>
      </c>
      <c r="B1247" s="123"/>
      <c r="C1247" s="123"/>
      <c r="D1247" s="123"/>
      <c r="E1247" s="123"/>
      <c r="F1247" s="123"/>
      <c r="G1247" s="127" t="s">
        <v>292</v>
      </c>
      <c r="H1247" s="128">
        <v>2002</v>
      </c>
      <c r="I1247" s="128" t="s">
        <v>82</v>
      </c>
      <c r="J1247" s="128">
        <f t="shared" si="38"/>
        <v>5</v>
      </c>
      <c r="K1247" s="128" t="s">
        <v>322</v>
      </c>
      <c r="L1247" s="128" t="s">
        <v>30</v>
      </c>
      <c r="M1247" s="129" t="s">
        <v>31</v>
      </c>
      <c r="N1247" s="129" t="s">
        <v>32</v>
      </c>
      <c r="O1247" s="129" t="s">
        <v>28</v>
      </c>
      <c r="P1247" s="129" t="str">
        <f t="shared" si="39"/>
        <v>N/A</v>
      </c>
      <c r="Q1247" s="128" t="s">
        <v>2558</v>
      </c>
      <c r="R1247" s="128">
        <v>32.799999999999997</v>
      </c>
      <c r="S1247" s="128">
        <v>60.6</v>
      </c>
      <c r="T1247" s="130"/>
      <c r="U1247" s="131"/>
    </row>
    <row r="1248" spans="1:21" ht="15.75" hidden="1" thickBot="1">
      <c r="A1248" s="45">
        <v>1329</v>
      </c>
      <c r="B1248" s="123"/>
      <c r="C1248" s="123"/>
      <c r="D1248" s="123"/>
      <c r="E1248" s="123"/>
      <c r="F1248" s="123"/>
      <c r="G1248" s="127" t="s">
        <v>292</v>
      </c>
      <c r="H1248" s="128">
        <v>2002</v>
      </c>
      <c r="I1248" s="128" t="s">
        <v>300</v>
      </c>
      <c r="J1248" s="128">
        <f t="shared" si="38"/>
        <v>2</v>
      </c>
      <c r="K1248" s="128" t="s">
        <v>2559</v>
      </c>
      <c r="L1248" s="128" t="s">
        <v>30</v>
      </c>
      <c r="M1248" s="129" t="s">
        <v>31</v>
      </c>
      <c r="N1248" s="129" t="s">
        <v>28</v>
      </c>
      <c r="O1248" s="129" t="s">
        <v>28</v>
      </c>
      <c r="P1248" s="129" t="str">
        <f t="shared" si="39"/>
        <v>N/A</v>
      </c>
      <c r="Q1248" s="128" t="s">
        <v>2560</v>
      </c>
      <c r="R1248" s="128">
        <v>42.9</v>
      </c>
      <c r="S1248" s="130"/>
      <c r="T1248" s="130" t="s">
        <v>31</v>
      </c>
      <c r="U1248" s="131"/>
    </row>
    <row r="1249" spans="1:21" ht="15.75" hidden="1" thickBot="1">
      <c r="A1249" s="45">
        <v>1329</v>
      </c>
      <c r="B1249" s="123"/>
      <c r="C1249" s="123"/>
      <c r="D1249" s="123"/>
      <c r="E1249" s="123"/>
      <c r="F1249" s="123"/>
      <c r="G1249" s="127" t="s">
        <v>292</v>
      </c>
      <c r="H1249" s="128">
        <v>2002</v>
      </c>
      <c r="I1249" s="128" t="s">
        <v>300</v>
      </c>
      <c r="J1249" s="128">
        <f t="shared" si="38"/>
        <v>2</v>
      </c>
      <c r="K1249" s="128" t="s">
        <v>314</v>
      </c>
      <c r="L1249" s="128" t="s">
        <v>40</v>
      </c>
      <c r="M1249" s="129" t="s">
        <v>31</v>
      </c>
      <c r="N1249" s="129" t="s">
        <v>32</v>
      </c>
      <c r="O1249" s="129" t="s">
        <v>28</v>
      </c>
      <c r="P1249" s="129" t="str">
        <f t="shared" si="39"/>
        <v>N/A</v>
      </c>
      <c r="Q1249" s="130"/>
      <c r="R1249" s="128">
        <v>57.1</v>
      </c>
      <c r="S1249" s="130"/>
      <c r="T1249" s="130"/>
      <c r="U1249" s="131"/>
    </row>
    <row r="1250" spans="1:21" ht="15.75" hidden="1" thickBot="1">
      <c r="A1250" s="123">
        <v>1319</v>
      </c>
      <c r="B1250" s="123"/>
      <c r="C1250" s="123"/>
      <c r="D1250" s="123"/>
      <c r="E1250" s="123"/>
      <c r="F1250" s="123"/>
      <c r="G1250" s="127" t="s">
        <v>292</v>
      </c>
      <c r="H1250" s="128">
        <v>2004</v>
      </c>
      <c r="I1250" s="128" t="s">
        <v>91</v>
      </c>
      <c r="J1250" s="128">
        <f t="shared" si="38"/>
        <v>2</v>
      </c>
      <c r="K1250" s="128" t="s">
        <v>316</v>
      </c>
      <c r="L1250" s="128" t="s">
        <v>30</v>
      </c>
      <c r="M1250" s="129" t="s">
        <v>201</v>
      </c>
      <c r="N1250" s="129" t="s">
        <v>32</v>
      </c>
      <c r="O1250" s="129" t="s">
        <v>32</v>
      </c>
      <c r="P1250" s="129" t="str">
        <f t="shared" si="39"/>
        <v>Y</v>
      </c>
      <c r="Q1250" s="128" t="s">
        <v>2561</v>
      </c>
      <c r="R1250" s="128">
        <v>70.75</v>
      </c>
      <c r="S1250" s="130"/>
      <c r="T1250" s="130" t="s">
        <v>31</v>
      </c>
      <c r="U1250" s="131"/>
    </row>
    <row r="1251" spans="1:21" ht="15.75" hidden="1" thickBot="1">
      <c r="A1251" s="123">
        <v>1319</v>
      </c>
      <c r="B1251" s="123"/>
      <c r="C1251" s="123"/>
      <c r="D1251" s="123"/>
      <c r="E1251" s="123"/>
      <c r="F1251" s="123"/>
      <c r="G1251" s="127" t="s">
        <v>292</v>
      </c>
      <c r="H1251" s="128">
        <v>2004</v>
      </c>
      <c r="I1251" s="128" t="s">
        <v>91</v>
      </c>
      <c r="J1251" s="128">
        <f t="shared" si="38"/>
        <v>2</v>
      </c>
      <c r="K1251" s="128" t="s">
        <v>2562</v>
      </c>
      <c r="L1251" s="128" t="s">
        <v>30</v>
      </c>
      <c r="M1251" s="129" t="s">
        <v>31</v>
      </c>
      <c r="N1251" s="129" t="s">
        <v>28</v>
      </c>
      <c r="O1251" s="129" t="s">
        <v>28</v>
      </c>
      <c r="P1251" s="129" t="str">
        <f t="shared" si="39"/>
        <v>N/A</v>
      </c>
      <c r="Q1251" s="130"/>
      <c r="R1251" s="128">
        <v>29.25</v>
      </c>
      <c r="S1251" s="130"/>
      <c r="T1251" s="130" t="s">
        <v>31</v>
      </c>
      <c r="U1251" s="131"/>
    </row>
    <row r="1252" spans="1:21" ht="15.75" hidden="1" thickBot="1">
      <c r="A1252" s="123">
        <v>1320</v>
      </c>
      <c r="B1252" s="123"/>
      <c r="C1252" s="123"/>
      <c r="D1252" s="123"/>
      <c r="E1252" s="123"/>
      <c r="F1252" s="123"/>
      <c r="G1252" s="127" t="s">
        <v>292</v>
      </c>
      <c r="H1252" s="128">
        <v>2004</v>
      </c>
      <c r="I1252" s="128" t="s">
        <v>79</v>
      </c>
      <c r="J1252" s="128">
        <f t="shared" si="38"/>
        <v>2</v>
      </c>
      <c r="K1252" s="128" t="s">
        <v>308</v>
      </c>
      <c r="L1252" s="128" t="s">
        <v>30</v>
      </c>
      <c r="M1252" s="129" t="s">
        <v>31</v>
      </c>
      <c r="N1252" s="129" t="s">
        <v>32</v>
      </c>
      <c r="O1252" s="129" t="s">
        <v>32</v>
      </c>
      <c r="P1252" s="129" t="str">
        <f t="shared" si="39"/>
        <v>Y</v>
      </c>
      <c r="Q1252" s="130"/>
      <c r="R1252" s="128">
        <v>86.11</v>
      </c>
      <c r="S1252" s="130"/>
      <c r="T1252" s="130"/>
      <c r="U1252" s="131"/>
    </row>
    <row r="1253" spans="1:21" ht="15.75" hidden="1" thickBot="1">
      <c r="A1253" s="123">
        <v>1320</v>
      </c>
      <c r="B1253" s="123"/>
      <c r="C1253" s="123"/>
      <c r="D1253" s="123"/>
      <c r="E1253" s="123"/>
      <c r="F1253" s="123"/>
      <c r="G1253" s="127" t="s">
        <v>292</v>
      </c>
      <c r="H1253" s="128">
        <v>2004</v>
      </c>
      <c r="I1253" s="128" t="s">
        <v>79</v>
      </c>
      <c r="J1253" s="128">
        <f t="shared" si="38"/>
        <v>2</v>
      </c>
      <c r="K1253" s="128" t="s">
        <v>2563</v>
      </c>
      <c r="L1253" s="128" t="s">
        <v>30</v>
      </c>
      <c r="M1253" s="129" t="s">
        <v>31</v>
      </c>
      <c r="N1253" s="129" t="s">
        <v>28</v>
      </c>
      <c r="O1253" s="129" t="s">
        <v>28</v>
      </c>
      <c r="P1253" s="129" t="str">
        <f t="shared" si="39"/>
        <v>N/A</v>
      </c>
      <c r="Q1253" s="128" t="s">
        <v>2564</v>
      </c>
      <c r="R1253" s="128">
        <v>13.89</v>
      </c>
      <c r="S1253" s="130"/>
      <c r="T1253" s="130" t="s">
        <v>998</v>
      </c>
      <c r="U1253" s="131"/>
    </row>
    <row r="1254" spans="1:21" ht="15.75" hidden="1" thickBot="1">
      <c r="A1254" s="123">
        <v>1321</v>
      </c>
      <c r="B1254" s="123"/>
      <c r="C1254" s="123"/>
      <c r="D1254" s="123"/>
      <c r="E1254" s="123"/>
      <c r="F1254" s="123"/>
      <c r="G1254" s="127" t="s">
        <v>292</v>
      </c>
      <c r="H1254" s="128">
        <v>2004</v>
      </c>
      <c r="I1254" s="128" t="s">
        <v>100</v>
      </c>
      <c r="J1254" s="128">
        <f t="shared" si="38"/>
        <v>2</v>
      </c>
      <c r="K1254" s="128" t="s">
        <v>2565</v>
      </c>
      <c r="L1254" s="128" t="s">
        <v>30</v>
      </c>
      <c r="M1254" s="129" t="s">
        <v>31</v>
      </c>
      <c r="N1254" s="129" t="s">
        <v>28</v>
      </c>
      <c r="O1254" s="129" t="s">
        <v>28</v>
      </c>
      <c r="P1254" s="129" t="str">
        <f t="shared" si="39"/>
        <v>N/A</v>
      </c>
      <c r="Q1254" s="128" t="s">
        <v>2566</v>
      </c>
      <c r="R1254" s="128">
        <v>14.36</v>
      </c>
      <c r="S1254" s="130"/>
      <c r="T1254" s="130" t="s">
        <v>31</v>
      </c>
      <c r="U1254" s="131"/>
    </row>
    <row r="1255" spans="1:21" ht="15.75" hidden="1" thickBot="1">
      <c r="A1255" s="123">
        <v>1321</v>
      </c>
      <c r="B1255" s="123"/>
      <c r="C1255" s="123"/>
      <c r="D1255" s="123"/>
      <c r="E1255" s="123"/>
      <c r="F1255" s="123"/>
      <c r="G1255" s="127" t="s">
        <v>292</v>
      </c>
      <c r="H1255" s="128">
        <v>2004</v>
      </c>
      <c r="I1255" s="128" t="s">
        <v>100</v>
      </c>
      <c r="J1255" s="128">
        <f t="shared" si="38"/>
        <v>2</v>
      </c>
      <c r="K1255" s="128" t="s">
        <v>317</v>
      </c>
      <c r="L1255" s="128" t="s">
        <v>30</v>
      </c>
      <c r="M1255" s="129" t="s">
        <v>31</v>
      </c>
      <c r="N1255" s="129" t="s">
        <v>32</v>
      </c>
      <c r="O1255" s="129" t="s">
        <v>32</v>
      </c>
      <c r="P1255" s="129" t="str">
        <f t="shared" si="39"/>
        <v>Y</v>
      </c>
      <c r="Q1255" s="128" t="s">
        <v>2567</v>
      </c>
      <c r="R1255" s="128">
        <v>85.64</v>
      </c>
      <c r="S1255" s="130"/>
      <c r="T1255" s="130" t="s">
        <v>31</v>
      </c>
      <c r="U1255" s="131"/>
    </row>
    <row r="1256" spans="1:21" ht="15.75" hidden="1" thickBot="1">
      <c r="A1256" s="123">
        <v>1322</v>
      </c>
      <c r="B1256" s="123"/>
      <c r="C1256" s="123"/>
      <c r="D1256" s="123"/>
      <c r="E1256" s="123"/>
      <c r="F1256" s="123"/>
      <c r="G1256" s="127" t="s">
        <v>292</v>
      </c>
      <c r="H1256" s="128">
        <v>2004</v>
      </c>
      <c r="I1256" s="128" t="s">
        <v>85</v>
      </c>
      <c r="J1256" s="128">
        <f t="shared" si="38"/>
        <v>1</v>
      </c>
      <c r="K1256" s="128" t="s">
        <v>318</v>
      </c>
      <c r="L1256" s="128" t="s">
        <v>30</v>
      </c>
      <c r="M1256" s="129" t="s">
        <v>31</v>
      </c>
      <c r="N1256" s="129" t="s">
        <v>32</v>
      </c>
      <c r="O1256" s="129" t="s">
        <v>32</v>
      </c>
      <c r="P1256" s="129" t="str">
        <f t="shared" si="39"/>
        <v>Y</v>
      </c>
      <c r="Q1256" s="130"/>
      <c r="R1256" s="128">
        <v>100</v>
      </c>
      <c r="S1256" s="130"/>
      <c r="T1256" s="130" t="s">
        <v>31</v>
      </c>
      <c r="U1256" s="131"/>
    </row>
    <row r="1257" spans="1:21" ht="15.75" hidden="1" thickBot="1">
      <c r="A1257" s="123">
        <v>1323</v>
      </c>
      <c r="B1257" s="123"/>
      <c r="C1257" s="123"/>
      <c r="D1257" s="123"/>
      <c r="E1257" s="123"/>
      <c r="F1257" s="123"/>
      <c r="G1257" s="127" t="s">
        <v>292</v>
      </c>
      <c r="H1257" s="128">
        <v>2004</v>
      </c>
      <c r="I1257" s="128" t="s">
        <v>306</v>
      </c>
      <c r="J1257" s="128">
        <f t="shared" si="38"/>
        <v>4</v>
      </c>
      <c r="K1257" s="128" t="s">
        <v>312</v>
      </c>
      <c r="L1257" s="128" t="s">
        <v>40</v>
      </c>
      <c r="M1257" s="129" t="s">
        <v>31</v>
      </c>
      <c r="N1257" s="129" t="s">
        <v>32</v>
      </c>
      <c r="O1257" s="129" t="s">
        <v>28</v>
      </c>
      <c r="P1257" s="129" t="str">
        <f t="shared" si="39"/>
        <v>N/A</v>
      </c>
      <c r="Q1257" s="130"/>
      <c r="R1257" s="128">
        <v>36.229999999999997</v>
      </c>
      <c r="S1257" s="128">
        <v>50.64</v>
      </c>
      <c r="T1257" s="130"/>
      <c r="U1257" s="131"/>
    </row>
    <row r="1258" spans="1:21" ht="15.75" hidden="1" thickBot="1">
      <c r="A1258" s="123">
        <v>1323</v>
      </c>
      <c r="B1258" s="123"/>
      <c r="C1258" s="123"/>
      <c r="D1258" s="123"/>
      <c r="E1258" s="123"/>
      <c r="F1258" s="123"/>
      <c r="G1258" s="127" t="s">
        <v>292</v>
      </c>
      <c r="H1258" s="128">
        <v>2004</v>
      </c>
      <c r="I1258" s="128" t="s">
        <v>306</v>
      </c>
      <c r="J1258" s="128">
        <f t="shared" si="38"/>
        <v>4</v>
      </c>
      <c r="K1258" s="128" t="s">
        <v>2568</v>
      </c>
      <c r="L1258" s="128" t="s">
        <v>30</v>
      </c>
      <c r="M1258" s="129" t="s">
        <v>1065</v>
      </c>
      <c r="N1258" s="129" t="s">
        <v>28</v>
      </c>
      <c r="O1258" s="129" t="s">
        <v>28</v>
      </c>
      <c r="P1258" s="129" t="str">
        <f t="shared" si="39"/>
        <v>N/A</v>
      </c>
      <c r="Q1258" s="128" t="s">
        <v>2569</v>
      </c>
      <c r="R1258" s="128">
        <v>48.6</v>
      </c>
      <c r="S1258" s="128">
        <v>49.36</v>
      </c>
      <c r="T1258" s="130" t="s">
        <v>998</v>
      </c>
      <c r="U1258" s="131"/>
    </row>
    <row r="1259" spans="1:21" ht="15.75" hidden="1" thickBot="1">
      <c r="A1259" s="123">
        <v>1323</v>
      </c>
      <c r="B1259" s="123"/>
      <c r="C1259" s="123"/>
      <c r="D1259" s="123"/>
      <c r="E1259" s="123"/>
      <c r="F1259" s="123"/>
      <c r="G1259" s="127" t="s">
        <v>292</v>
      </c>
      <c r="H1259" s="128">
        <v>2004</v>
      </c>
      <c r="I1259" s="128" t="s">
        <v>306</v>
      </c>
      <c r="J1259" s="128">
        <f t="shared" si="38"/>
        <v>4</v>
      </c>
      <c r="K1259" s="128" t="s">
        <v>2570</v>
      </c>
      <c r="L1259" s="128" t="s">
        <v>30</v>
      </c>
      <c r="M1259" s="129" t="s">
        <v>31</v>
      </c>
      <c r="N1259" s="129" t="s">
        <v>28</v>
      </c>
      <c r="O1259" s="129" t="s">
        <v>28</v>
      </c>
      <c r="P1259" s="129" t="str">
        <f t="shared" si="39"/>
        <v>N/A</v>
      </c>
      <c r="Q1259" s="128" t="s">
        <v>2571</v>
      </c>
      <c r="R1259" s="128">
        <v>9.85</v>
      </c>
      <c r="S1259" s="130"/>
      <c r="T1259" s="130"/>
      <c r="U1259" s="131"/>
    </row>
    <row r="1260" spans="1:21" ht="15.75" hidden="1" thickBot="1">
      <c r="A1260" s="123">
        <v>1323</v>
      </c>
      <c r="B1260" s="123"/>
      <c r="C1260" s="123"/>
      <c r="D1260" s="123"/>
      <c r="E1260" s="123"/>
      <c r="F1260" s="123"/>
      <c r="G1260" s="127" t="s">
        <v>292</v>
      </c>
      <c r="H1260" s="128">
        <v>2004</v>
      </c>
      <c r="I1260" s="128" t="s">
        <v>306</v>
      </c>
      <c r="J1260" s="128">
        <f t="shared" si="38"/>
        <v>4</v>
      </c>
      <c r="K1260" s="128" t="s">
        <v>2546</v>
      </c>
      <c r="L1260" s="128" t="s">
        <v>30</v>
      </c>
      <c r="M1260" s="129" t="s">
        <v>31</v>
      </c>
      <c r="N1260" s="129" t="s">
        <v>28</v>
      </c>
      <c r="O1260" s="129" t="s">
        <v>28</v>
      </c>
      <c r="P1260" s="129" t="str">
        <f t="shared" si="39"/>
        <v>N/A</v>
      </c>
      <c r="Q1260" s="128" t="s">
        <v>2572</v>
      </c>
      <c r="R1260" s="128">
        <v>5.33</v>
      </c>
      <c r="S1260" s="130"/>
      <c r="T1260" s="130" t="s">
        <v>31</v>
      </c>
      <c r="U1260" s="131"/>
    </row>
    <row r="1261" spans="1:21" ht="15.75" thickBot="1">
      <c r="A1261" s="123">
        <v>1318</v>
      </c>
      <c r="B1261" s="123"/>
      <c r="C1261" s="123"/>
      <c r="D1261" s="123"/>
      <c r="E1261" s="123"/>
      <c r="F1261" s="123"/>
      <c r="G1261" s="127" t="s">
        <v>292</v>
      </c>
      <c r="H1261" s="128">
        <v>2005</v>
      </c>
      <c r="I1261" s="128" t="s">
        <v>82</v>
      </c>
      <c r="J1261" s="128">
        <f t="shared" si="38"/>
        <v>8</v>
      </c>
      <c r="K1261" s="128" t="s">
        <v>2573</v>
      </c>
      <c r="L1261" s="128" t="s">
        <v>40</v>
      </c>
      <c r="M1261" s="129" t="s">
        <v>1003</v>
      </c>
      <c r="N1261" s="129" t="s">
        <v>28</v>
      </c>
      <c r="O1261" s="129"/>
      <c r="P1261" s="129" t="str">
        <f t="shared" si="39"/>
        <v/>
      </c>
      <c r="Q1261" s="128" t="s">
        <v>2574</v>
      </c>
      <c r="R1261" s="128">
        <v>12.68</v>
      </c>
      <c r="S1261" s="130"/>
      <c r="T1261" s="130"/>
      <c r="U1261" s="131"/>
    </row>
    <row r="1262" spans="1:21" ht="15.75" thickBot="1">
      <c r="A1262" s="123">
        <v>1318</v>
      </c>
      <c r="B1262" s="123"/>
      <c r="C1262" s="123"/>
      <c r="D1262" s="123"/>
      <c r="E1262" s="123"/>
      <c r="F1262" s="123"/>
      <c r="G1262" s="127" t="s">
        <v>292</v>
      </c>
      <c r="H1262" s="128">
        <v>2005</v>
      </c>
      <c r="I1262" s="128" t="s">
        <v>82</v>
      </c>
      <c r="J1262" s="128">
        <f t="shared" si="38"/>
        <v>8</v>
      </c>
      <c r="K1262" s="128" t="s">
        <v>2557</v>
      </c>
      <c r="L1262" s="128" t="s">
        <v>30</v>
      </c>
      <c r="M1262" s="129" t="s">
        <v>31</v>
      </c>
      <c r="N1262" s="129" t="s">
        <v>28</v>
      </c>
      <c r="O1262" s="129"/>
      <c r="P1262" s="129" t="str">
        <f t="shared" si="39"/>
        <v/>
      </c>
      <c r="Q1262" s="128" t="s">
        <v>2575</v>
      </c>
      <c r="R1262" s="128">
        <v>9.4</v>
      </c>
      <c r="S1262" s="130"/>
      <c r="T1262" s="130" t="s">
        <v>31</v>
      </c>
      <c r="U1262" s="131"/>
    </row>
    <row r="1263" spans="1:21" ht="26.25" thickBot="1">
      <c r="A1263" s="123">
        <v>1318</v>
      </c>
      <c r="B1263" s="123"/>
      <c r="C1263" s="123"/>
      <c r="D1263" s="123"/>
      <c r="E1263" s="123"/>
      <c r="F1263" s="123"/>
      <c r="G1263" s="127" t="s">
        <v>292</v>
      </c>
      <c r="H1263" s="128">
        <v>2005</v>
      </c>
      <c r="I1263" s="128" t="s">
        <v>82</v>
      </c>
      <c r="J1263" s="128">
        <f t="shared" si="38"/>
        <v>8</v>
      </c>
      <c r="K1263" s="128" t="s">
        <v>2576</v>
      </c>
      <c r="L1263" s="128" t="s">
        <v>40</v>
      </c>
      <c r="M1263" s="129" t="s">
        <v>34</v>
      </c>
      <c r="N1263" s="129" t="s">
        <v>28</v>
      </c>
      <c r="O1263" s="129"/>
      <c r="P1263" s="129" t="str">
        <f t="shared" si="39"/>
        <v/>
      </c>
      <c r="Q1263" s="128" t="s">
        <v>2577</v>
      </c>
      <c r="R1263" s="128">
        <v>26.68</v>
      </c>
      <c r="S1263" s="128">
        <v>37.450000000000003</v>
      </c>
      <c r="T1263" s="130" t="s">
        <v>1051</v>
      </c>
      <c r="U1263" s="131"/>
    </row>
    <row r="1264" spans="1:21" ht="15.75" thickBot="1">
      <c r="A1264" s="123">
        <v>1318</v>
      </c>
      <c r="B1264" s="123"/>
      <c r="C1264" s="123"/>
      <c r="D1264" s="123"/>
      <c r="E1264" s="123"/>
      <c r="F1264" s="123"/>
      <c r="G1264" s="127" t="s">
        <v>292</v>
      </c>
      <c r="H1264" s="128">
        <v>2005</v>
      </c>
      <c r="I1264" s="128" t="s">
        <v>82</v>
      </c>
      <c r="J1264" s="128">
        <f t="shared" si="38"/>
        <v>8</v>
      </c>
      <c r="K1264" s="128" t="s">
        <v>311</v>
      </c>
      <c r="L1264" s="128" t="s">
        <v>40</v>
      </c>
      <c r="M1264" s="129" t="s">
        <v>34</v>
      </c>
      <c r="N1264" s="129" t="s">
        <v>32</v>
      </c>
      <c r="O1264" s="129"/>
      <c r="P1264" s="129" t="str">
        <f t="shared" si="39"/>
        <v/>
      </c>
      <c r="Q1264" s="130"/>
      <c r="R1264" s="128">
        <v>44.61</v>
      </c>
      <c r="S1264" s="128">
        <v>62.55</v>
      </c>
      <c r="T1264" s="130"/>
      <c r="U1264" s="131"/>
    </row>
    <row r="1265" spans="1:21" ht="15.75" thickBot="1">
      <c r="A1265" s="123">
        <v>1318</v>
      </c>
      <c r="B1265" s="123"/>
      <c r="C1265" s="123"/>
      <c r="D1265" s="123"/>
      <c r="E1265" s="123"/>
      <c r="F1265" s="123"/>
      <c r="G1265" s="127" t="s">
        <v>292</v>
      </c>
      <c r="H1265" s="128">
        <v>2005</v>
      </c>
      <c r="I1265" s="128" t="s">
        <v>82</v>
      </c>
      <c r="J1265" s="128">
        <f t="shared" si="38"/>
        <v>8</v>
      </c>
      <c r="K1265" s="128" t="s">
        <v>2578</v>
      </c>
      <c r="L1265" s="128" t="s">
        <v>40</v>
      </c>
      <c r="M1265" s="129" t="s">
        <v>1003</v>
      </c>
      <c r="N1265" s="129" t="s">
        <v>28</v>
      </c>
      <c r="O1265" s="129"/>
      <c r="P1265" s="129" t="str">
        <f t="shared" si="39"/>
        <v/>
      </c>
      <c r="Q1265" s="144" t="s">
        <v>1004</v>
      </c>
      <c r="R1265" s="128">
        <v>0.56000000000000005</v>
      </c>
      <c r="S1265" s="130"/>
      <c r="T1265" s="130"/>
      <c r="U1265" s="131"/>
    </row>
    <row r="1266" spans="1:21" ht="15.75" thickBot="1">
      <c r="A1266" s="123">
        <v>1318</v>
      </c>
      <c r="B1266" s="123"/>
      <c r="C1266" s="123"/>
      <c r="D1266" s="123"/>
      <c r="E1266" s="123"/>
      <c r="F1266" s="123"/>
      <c r="G1266" s="127" t="s">
        <v>292</v>
      </c>
      <c r="H1266" s="128">
        <v>2005</v>
      </c>
      <c r="I1266" s="128" t="s">
        <v>82</v>
      </c>
      <c r="J1266" s="128">
        <f t="shared" si="38"/>
        <v>8</v>
      </c>
      <c r="K1266" s="128" t="s">
        <v>2579</v>
      </c>
      <c r="L1266" s="128" t="s">
        <v>30</v>
      </c>
      <c r="M1266" s="129" t="s">
        <v>1003</v>
      </c>
      <c r="N1266" s="129" t="s">
        <v>28</v>
      </c>
      <c r="O1266" s="129"/>
      <c r="P1266" s="129" t="str">
        <f t="shared" si="39"/>
        <v/>
      </c>
      <c r="Q1266" s="128" t="s">
        <v>2580</v>
      </c>
      <c r="R1266" s="128">
        <v>4.6900000000000004</v>
      </c>
      <c r="S1266" s="130"/>
      <c r="T1266" s="130"/>
      <c r="U1266" s="131"/>
    </row>
    <row r="1267" spans="1:21" ht="15.75" thickBot="1">
      <c r="A1267" s="123">
        <v>1318</v>
      </c>
      <c r="B1267" s="123"/>
      <c r="C1267" s="123"/>
      <c r="D1267" s="123"/>
      <c r="E1267" s="123"/>
      <c r="F1267" s="123"/>
      <c r="G1267" s="127" t="s">
        <v>292</v>
      </c>
      <c r="H1267" s="128">
        <v>2005</v>
      </c>
      <c r="I1267" s="128" t="s">
        <v>82</v>
      </c>
      <c r="J1267" s="128">
        <f t="shared" si="38"/>
        <v>8</v>
      </c>
      <c r="K1267" s="128" t="s">
        <v>2581</v>
      </c>
      <c r="L1267" s="128" t="s">
        <v>30</v>
      </c>
      <c r="M1267" s="129" t="s">
        <v>31</v>
      </c>
      <c r="N1267" s="129" t="s">
        <v>28</v>
      </c>
      <c r="O1267" s="129"/>
      <c r="P1267" s="129" t="str">
        <f t="shared" si="39"/>
        <v/>
      </c>
      <c r="Q1267" s="128" t="s">
        <v>2582</v>
      </c>
      <c r="R1267" s="128">
        <v>0.95</v>
      </c>
      <c r="S1267" s="130"/>
      <c r="T1267" s="130" t="s">
        <v>31</v>
      </c>
      <c r="U1267" s="131"/>
    </row>
    <row r="1268" spans="1:21" ht="15.75" hidden="1" thickBot="1">
      <c r="A1268" s="123">
        <v>1318</v>
      </c>
      <c r="B1268" s="123"/>
      <c r="C1268" s="123"/>
      <c r="D1268" s="123"/>
      <c r="E1268" s="123"/>
      <c r="F1268" s="123"/>
      <c r="G1268" s="127" t="s">
        <v>292</v>
      </c>
      <c r="H1268" s="128">
        <v>2005</v>
      </c>
      <c r="I1268" s="128" t="s">
        <v>82</v>
      </c>
      <c r="J1268" s="128">
        <f t="shared" si="38"/>
        <v>8</v>
      </c>
      <c r="K1268" s="128" t="s">
        <v>2555</v>
      </c>
      <c r="L1268" s="128" t="s">
        <v>30</v>
      </c>
      <c r="M1268" s="129" t="s">
        <v>1003</v>
      </c>
      <c r="N1268" s="129" t="s">
        <v>28</v>
      </c>
      <c r="O1268" s="129" t="s">
        <v>28</v>
      </c>
      <c r="P1268" s="129" t="str">
        <f t="shared" si="39"/>
        <v>N/A</v>
      </c>
      <c r="Q1268" s="128" t="s">
        <v>1004</v>
      </c>
      <c r="R1268" s="128">
        <v>0.55000000000000004</v>
      </c>
      <c r="S1268" s="130"/>
      <c r="T1268" s="130"/>
      <c r="U1268" s="131"/>
    </row>
    <row r="1269" spans="1:21" ht="15.75" hidden="1" thickBot="1">
      <c r="A1269" s="123">
        <v>1311</v>
      </c>
      <c r="B1269" s="123"/>
      <c r="C1269" s="123"/>
      <c r="D1269" s="123"/>
      <c r="E1269" s="123"/>
      <c r="F1269" s="123"/>
      <c r="G1269" s="127" t="s">
        <v>292</v>
      </c>
      <c r="H1269" s="128">
        <v>2006</v>
      </c>
      <c r="I1269" s="128" t="s">
        <v>38</v>
      </c>
      <c r="J1269" s="128">
        <f t="shared" si="38"/>
        <v>10</v>
      </c>
      <c r="K1269" s="128" t="s">
        <v>308</v>
      </c>
      <c r="L1269" s="128" t="s">
        <v>30</v>
      </c>
      <c r="M1269" s="129" t="s">
        <v>31</v>
      </c>
      <c r="N1269" s="129" t="s">
        <v>32</v>
      </c>
      <c r="O1269" s="129" t="s">
        <v>28</v>
      </c>
      <c r="P1269" s="129" t="str">
        <f t="shared" si="39"/>
        <v>N/A</v>
      </c>
      <c r="Q1269" s="130"/>
      <c r="R1269" s="128">
        <v>28.79</v>
      </c>
      <c r="S1269" s="128">
        <v>59.26</v>
      </c>
      <c r="T1269" s="130"/>
      <c r="U1269" s="131"/>
    </row>
    <row r="1270" spans="1:21" ht="15.75" hidden="1" thickBot="1">
      <c r="A1270" s="123">
        <v>1311</v>
      </c>
      <c r="B1270" s="123"/>
      <c r="C1270" s="123"/>
      <c r="D1270" s="123"/>
      <c r="E1270" s="123"/>
      <c r="F1270" s="123"/>
      <c r="G1270" s="127" t="s">
        <v>292</v>
      </c>
      <c r="H1270" s="128">
        <v>2006</v>
      </c>
      <c r="I1270" s="128" t="s">
        <v>38</v>
      </c>
      <c r="J1270" s="128">
        <f t="shared" si="38"/>
        <v>10</v>
      </c>
      <c r="K1270" s="128" t="s">
        <v>321</v>
      </c>
      <c r="L1270" s="128" t="s">
        <v>40</v>
      </c>
      <c r="M1270" s="129" t="s">
        <v>1065</v>
      </c>
      <c r="N1270" s="129" t="s">
        <v>28</v>
      </c>
      <c r="O1270" s="129" t="s">
        <v>28</v>
      </c>
      <c r="P1270" s="129" t="str">
        <f t="shared" si="39"/>
        <v>N/A</v>
      </c>
      <c r="Q1270" s="128" t="s">
        <v>2583</v>
      </c>
      <c r="R1270" s="128">
        <v>23.17</v>
      </c>
      <c r="S1270" s="128">
        <v>40.74</v>
      </c>
      <c r="T1270" s="130" t="s">
        <v>31</v>
      </c>
      <c r="U1270" s="131"/>
    </row>
    <row r="1271" spans="1:21" ht="15.75" hidden="1" thickBot="1">
      <c r="A1271" s="123">
        <v>1311</v>
      </c>
      <c r="B1271" s="123"/>
      <c r="C1271" s="123"/>
      <c r="D1271" s="123"/>
      <c r="E1271" s="123"/>
      <c r="F1271" s="123"/>
      <c r="G1271" s="127" t="s">
        <v>292</v>
      </c>
      <c r="H1271" s="128">
        <v>2006</v>
      </c>
      <c r="I1271" s="128" t="s">
        <v>38</v>
      </c>
      <c r="J1271" s="128">
        <f t="shared" si="38"/>
        <v>10</v>
      </c>
      <c r="K1271" s="128" t="s">
        <v>2584</v>
      </c>
      <c r="L1271" s="128" t="s">
        <v>30</v>
      </c>
      <c r="M1271" s="129" t="s">
        <v>31</v>
      </c>
      <c r="N1271" s="129" t="s">
        <v>28</v>
      </c>
      <c r="O1271" s="129" t="s">
        <v>28</v>
      </c>
      <c r="P1271" s="129" t="str">
        <f t="shared" si="39"/>
        <v>N/A</v>
      </c>
      <c r="Q1271" s="130"/>
      <c r="R1271" s="128">
        <v>16.37</v>
      </c>
      <c r="S1271" s="130"/>
      <c r="T1271" s="130"/>
      <c r="U1271" s="131"/>
    </row>
    <row r="1272" spans="1:21" ht="15.75" hidden="1" thickBot="1">
      <c r="A1272" s="123">
        <v>1311</v>
      </c>
      <c r="B1272" s="123"/>
      <c r="C1272" s="123"/>
      <c r="D1272" s="123"/>
      <c r="E1272" s="123"/>
      <c r="F1272" s="123"/>
      <c r="G1272" s="127" t="s">
        <v>292</v>
      </c>
      <c r="H1272" s="128">
        <v>2006</v>
      </c>
      <c r="I1272" s="128" t="s">
        <v>38</v>
      </c>
      <c r="J1272" s="128">
        <f t="shared" si="38"/>
        <v>10</v>
      </c>
      <c r="K1272" s="128" t="s">
        <v>2471</v>
      </c>
      <c r="L1272" s="128" t="s">
        <v>30</v>
      </c>
      <c r="M1272" s="129" t="s">
        <v>31</v>
      </c>
      <c r="N1272" s="129" t="s">
        <v>28</v>
      </c>
      <c r="O1272" s="129" t="s">
        <v>28</v>
      </c>
      <c r="P1272" s="129" t="str">
        <f t="shared" si="39"/>
        <v>N/A</v>
      </c>
      <c r="Q1272" s="128" t="s">
        <v>2585</v>
      </c>
      <c r="R1272" s="128">
        <v>17.86</v>
      </c>
      <c r="S1272" s="130"/>
      <c r="T1272" s="130" t="s">
        <v>31</v>
      </c>
      <c r="U1272" s="131"/>
    </row>
    <row r="1273" spans="1:21" ht="15.75" hidden="1" thickBot="1">
      <c r="A1273" s="123">
        <v>1311</v>
      </c>
      <c r="B1273" s="123"/>
      <c r="C1273" s="123"/>
      <c r="D1273" s="123"/>
      <c r="E1273" s="123"/>
      <c r="F1273" s="123"/>
      <c r="G1273" s="127" t="s">
        <v>292</v>
      </c>
      <c r="H1273" s="128">
        <v>2006</v>
      </c>
      <c r="I1273" s="128" t="s">
        <v>38</v>
      </c>
      <c r="J1273" s="128">
        <f t="shared" si="38"/>
        <v>10</v>
      </c>
      <c r="K1273" s="128" t="s">
        <v>2586</v>
      </c>
      <c r="L1273" s="128" t="s">
        <v>30</v>
      </c>
      <c r="M1273" s="129" t="s">
        <v>31</v>
      </c>
      <c r="N1273" s="129" t="s">
        <v>28</v>
      </c>
      <c r="O1273" s="129" t="s">
        <v>28</v>
      </c>
      <c r="P1273" s="129" t="str">
        <f t="shared" si="39"/>
        <v>N/A</v>
      </c>
      <c r="Q1273" s="128" t="s">
        <v>2587</v>
      </c>
      <c r="R1273" s="128">
        <v>0.87</v>
      </c>
      <c r="S1273" s="130"/>
      <c r="T1273" s="130"/>
      <c r="U1273" s="131"/>
    </row>
    <row r="1274" spans="1:21" ht="15.75" hidden="1" thickBot="1">
      <c r="A1274" s="123">
        <v>1311</v>
      </c>
      <c r="B1274" s="123"/>
      <c r="C1274" s="123"/>
      <c r="D1274" s="123"/>
      <c r="E1274" s="123"/>
      <c r="F1274" s="123"/>
      <c r="G1274" s="127" t="s">
        <v>292</v>
      </c>
      <c r="H1274" s="128">
        <v>2006</v>
      </c>
      <c r="I1274" s="128" t="s">
        <v>38</v>
      </c>
      <c r="J1274" s="128">
        <f t="shared" si="38"/>
        <v>10</v>
      </c>
      <c r="K1274" s="128" t="s">
        <v>2588</v>
      </c>
      <c r="L1274" s="128" t="s">
        <v>30</v>
      </c>
      <c r="M1274" s="129" t="s">
        <v>1003</v>
      </c>
      <c r="N1274" s="129" t="s">
        <v>28</v>
      </c>
      <c r="O1274" s="129" t="s">
        <v>28</v>
      </c>
      <c r="P1274" s="129" t="str">
        <f t="shared" si="39"/>
        <v>N/A</v>
      </c>
      <c r="Q1274" s="128" t="s">
        <v>2589</v>
      </c>
      <c r="R1274" s="128">
        <v>0.35</v>
      </c>
      <c r="S1274" s="130"/>
      <c r="T1274" s="130" t="s">
        <v>1069</v>
      </c>
      <c r="U1274" s="131"/>
    </row>
    <row r="1275" spans="1:21" ht="15.75" hidden="1" thickBot="1">
      <c r="A1275" s="123">
        <v>1311</v>
      </c>
      <c r="B1275" s="123"/>
      <c r="C1275" s="123"/>
      <c r="D1275" s="123"/>
      <c r="E1275" s="123"/>
      <c r="F1275" s="123"/>
      <c r="G1275" s="127" t="s">
        <v>292</v>
      </c>
      <c r="H1275" s="128">
        <v>2006</v>
      </c>
      <c r="I1275" s="128" t="s">
        <v>38</v>
      </c>
      <c r="J1275" s="128">
        <f t="shared" si="38"/>
        <v>10</v>
      </c>
      <c r="K1275" s="128" t="s">
        <v>2590</v>
      </c>
      <c r="L1275" s="128" t="s">
        <v>30</v>
      </c>
      <c r="M1275" s="129" t="s">
        <v>1065</v>
      </c>
      <c r="N1275" s="129" t="s">
        <v>28</v>
      </c>
      <c r="O1275" s="129" t="s">
        <v>28</v>
      </c>
      <c r="P1275" s="129" t="str">
        <f t="shared" si="39"/>
        <v>N/A</v>
      </c>
      <c r="Q1275" s="128" t="s">
        <v>2591</v>
      </c>
      <c r="R1275" s="128">
        <v>0.52</v>
      </c>
      <c r="S1275" s="130"/>
      <c r="T1275" s="130" t="s">
        <v>31</v>
      </c>
      <c r="U1275" s="131"/>
    </row>
    <row r="1276" spans="1:21" ht="15.75" hidden="1" thickBot="1">
      <c r="A1276" s="123">
        <v>1311</v>
      </c>
      <c r="B1276" s="123"/>
      <c r="C1276" s="123"/>
      <c r="D1276" s="123"/>
      <c r="E1276" s="123"/>
      <c r="F1276" s="123"/>
      <c r="G1276" s="127" t="s">
        <v>292</v>
      </c>
      <c r="H1276" s="128">
        <v>2006</v>
      </c>
      <c r="I1276" s="128" t="s">
        <v>38</v>
      </c>
      <c r="J1276" s="128">
        <f t="shared" si="38"/>
        <v>10</v>
      </c>
      <c r="K1276" s="128" t="s">
        <v>2592</v>
      </c>
      <c r="L1276" s="128" t="s">
        <v>30</v>
      </c>
      <c r="M1276" s="129" t="s">
        <v>31</v>
      </c>
      <c r="N1276" s="129" t="s">
        <v>28</v>
      </c>
      <c r="O1276" s="129" t="s">
        <v>28</v>
      </c>
      <c r="P1276" s="129" t="str">
        <f t="shared" si="39"/>
        <v>N/A</v>
      </c>
      <c r="Q1276" s="128" t="s">
        <v>1004</v>
      </c>
      <c r="R1276" s="128">
        <v>0.52</v>
      </c>
      <c r="S1276" s="130"/>
      <c r="T1276" s="130" t="s">
        <v>31</v>
      </c>
      <c r="U1276" s="131"/>
    </row>
    <row r="1277" spans="1:21" ht="15.75" hidden="1" thickBot="1">
      <c r="A1277" s="123">
        <v>1311</v>
      </c>
      <c r="B1277" s="123"/>
      <c r="C1277" s="123"/>
      <c r="D1277" s="123"/>
      <c r="E1277" s="123"/>
      <c r="F1277" s="123"/>
      <c r="G1277" s="127" t="s">
        <v>292</v>
      </c>
      <c r="H1277" s="128">
        <v>2006</v>
      </c>
      <c r="I1277" s="128" t="s">
        <v>38</v>
      </c>
      <c r="J1277" s="128">
        <f t="shared" si="38"/>
        <v>10</v>
      </c>
      <c r="K1277" s="128" t="s">
        <v>2593</v>
      </c>
      <c r="L1277" s="128" t="s">
        <v>30</v>
      </c>
      <c r="M1277" s="129" t="s">
        <v>31</v>
      </c>
      <c r="N1277" s="129" t="s">
        <v>28</v>
      </c>
      <c r="O1277" s="129" t="s">
        <v>28</v>
      </c>
      <c r="P1277" s="129" t="str">
        <f t="shared" si="39"/>
        <v>N/A</v>
      </c>
      <c r="Q1277" s="128" t="s">
        <v>2594</v>
      </c>
      <c r="R1277" s="128">
        <v>10.74</v>
      </c>
      <c r="S1277" s="130"/>
      <c r="T1277" s="130"/>
      <c r="U1277" s="131"/>
    </row>
    <row r="1278" spans="1:21" ht="15.75" hidden="1" thickBot="1">
      <c r="A1278" s="123">
        <v>1311</v>
      </c>
      <c r="B1278" s="123"/>
      <c r="C1278" s="123"/>
      <c r="D1278" s="123"/>
      <c r="E1278" s="123"/>
      <c r="F1278" s="123"/>
      <c r="G1278" s="127" t="s">
        <v>292</v>
      </c>
      <c r="H1278" s="128">
        <v>2006</v>
      </c>
      <c r="I1278" s="128" t="s">
        <v>38</v>
      </c>
      <c r="J1278" s="128">
        <f t="shared" si="38"/>
        <v>10</v>
      </c>
      <c r="K1278" s="128" t="s">
        <v>2595</v>
      </c>
      <c r="L1278" s="128" t="s">
        <v>30</v>
      </c>
      <c r="M1278" s="129" t="s">
        <v>31</v>
      </c>
      <c r="N1278" s="129" t="s">
        <v>28</v>
      </c>
      <c r="O1278" s="129" t="s">
        <v>28</v>
      </c>
      <c r="P1278" s="129" t="str">
        <f t="shared" si="39"/>
        <v>N/A</v>
      </c>
      <c r="Q1278" s="128" t="s">
        <v>2596</v>
      </c>
      <c r="R1278" s="128">
        <v>0.52</v>
      </c>
      <c r="S1278" s="130"/>
      <c r="T1278" s="130" t="s">
        <v>31</v>
      </c>
      <c r="U1278" s="131"/>
    </row>
    <row r="1279" spans="1:21" ht="15.75" hidden="1" thickBot="1">
      <c r="A1279" s="123">
        <v>1312</v>
      </c>
      <c r="B1279" s="123"/>
      <c r="C1279" s="123"/>
      <c r="D1279" s="123"/>
      <c r="E1279" s="123"/>
      <c r="F1279" s="123"/>
      <c r="G1279" s="127" t="s">
        <v>292</v>
      </c>
      <c r="H1279" s="128">
        <v>2006</v>
      </c>
      <c r="I1279" s="128" t="s">
        <v>76</v>
      </c>
      <c r="J1279" s="128">
        <f t="shared" si="38"/>
        <v>3</v>
      </c>
      <c r="K1279" s="128" t="s">
        <v>2597</v>
      </c>
      <c r="L1279" s="128" t="s">
        <v>30</v>
      </c>
      <c r="M1279" s="129" t="s">
        <v>31</v>
      </c>
      <c r="N1279" s="129" t="s">
        <v>28</v>
      </c>
      <c r="O1279" s="129" t="s">
        <v>28</v>
      </c>
      <c r="P1279" s="129" t="str">
        <f t="shared" si="39"/>
        <v>N/A</v>
      </c>
      <c r="Q1279" s="128" t="s">
        <v>2598</v>
      </c>
      <c r="R1279" s="128">
        <v>30.36</v>
      </c>
      <c r="S1279" s="130"/>
      <c r="T1279" s="130" t="s">
        <v>1015</v>
      </c>
      <c r="U1279" s="131"/>
    </row>
    <row r="1280" spans="1:21" ht="15.75" hidden="1" thickBot="1">
      <c r="A1280" s="123">
        <v>1312</v>
      </c>
      <c r="B1280" s="123"/>
      <c r="C1280" s="123"/>
      <c r="D1280" s="123"/>
      <c r="E1280" s="123"/>
      <c r="F1280" s="123"/>
      <c r="G1280" s="127" t="s">
        <v>292</v>
      </c>
      <c r="H1280" s="128">
        <v>2006</v>
      </c>
      <c r="I1280" s="128" t="s">
        <v>76</v>
      </c>
      <c r="J1280" s="128">
        <f t="shared" si="38"/>
        <v>3</v>
      </c>
      <c r="K1280" s="128" t="s">
        <v>309</v>
      </c>
      <c r="L1280" s="128" t="s">
        <v>30</v>
      </c>
      <c r="M1280" s="129" t="s">
        <v>31</v>
      </c>
      <c r="N1280" s="129" t="s">
        <v>32</v>
      </c>
      <c r="O1280" s="129" t="s">
        <v>28</v>
      </c>
      <c r="P1280" s="129" t="str">
        <f t="shared" si="39"/>
        <v>N/A</v>
      </c>
      <c r="Q1280" s="130"/>
      <c r="R1280" s="128">
        <v>64.540000000000006</v>
      </c>
      <c r="S1280" s="130"/>
      <c r="T1280" s="130" t="s">
        <v>31</v>
      </c>
      <c r="U1280" s="131"/>
    </row>
    <row r="1281" spans="1:21" ht="15.75" hidden="1" thickBot="1">
      <c r="A1281" s="123">
        <v>1312</v>
      </c>
      <c r="B1281" s="123"/>
      <c r="C1281" s="123"/>
      <c r="D1281" s="123"/>
      <c r="E1281" s="123"/>
      <c r="F1281" s="123"/>
      <c r="G1281" s="127" t="s">
        <v>292</v>
      </c>
      <c r="H1281" s="128">
        <v>2006</v>
      </c>
      <c r="I1281" s="128" t="s">
        <v>76</v>
      </c>
      <c r="J1281" s="128">
        <f t="shared" si="38"/>
        <v>3</v>
      </c>
      <c r="K1281" s="128" t="s">
        <v>2514</v>
      </c>
      <c r="L1281" s="128" t="s">
        <v>30</v>
      </c>
      <c r="M1281" s="129" t="s">
        <v>31</v>
      </c>
      <c r="N1281" s="129" t="s">
        <v>28</v>
      </c>
      <c r="O1281" s="129" t="s">
        <v>28</v>
      </c>
      <c r="P1281" s="129" t="str">
        <f t="shared" si="39"/>
        <v>N/A</v>
      </c>
      <c r="Q1281" s="128" t="s">
        <v>2599</v>
      </c>
      <c r="R1281" s="128">
        <v>5.0999999999999996</v>
      </c>
      <c r="S1281" s="130"/>
      <c r="T1281" s="130" t="s">
        <v>31</v>
      </c>
      <c r="U1281" s="131"/>
    </row>
    <row r="1282" spans="1:21" ht="15.75" hidden="1" thickBot="1">
      <c r="A1282" s="123">
        <v>1313</v>
      </c>
      <c r="B1282" s="123"/>
      <c r="C1282" s="123"/>
      <c r="D1282" s="123"/>
      <c r="E1282" s="123"/>
      <c r="F1282" s="123"/>
      <c r="G1282" s="127" t="s">
        <v>292</v>
      </c>
      <c r="H1282" s="128">
        <v>2006</v>
      </c>
      <c r="I1282" s="128" t="s">
        <v>94</v>
      </c>
      <c r="J1282" s="128">
        <f t="shared" ref="J1282:J1345" si="40">COUNTIF(A$2:A$2215, A1282)</f>
        <v>8</v>
      </c>
      <c r="K1282" s="128" t="s">
        <v>2555</v>
      </c>
      <c r="L1282" s="128" t="s">
        <v>30</v>
      </c>
      <c r="M1282" s="129" t="s">
        <v>1003</v>
      </c>
      <c r="N1282" s="129" t="s">
        <v>28</v>
      </c>
      <c r="O1282" s="129" t="s">
        <v>28</v>
      </c>
      <c r="P1282" s="129" t="str">
        <f t="shared" si="39"/>
        <v>N/A</v>
      </c>
      <c r="Q1282" s="128" t="s">
        <v>1004</v>
      </c>
      <c r="R1282" s="128">
        <v>1.52</v>
      </c>
      <c r="S1282" s="130"/>
      <c r="T1282" s="130"/>
      <c r="U1282" s="131"/>
    </row>
    <row r="1283" spans="1:21" ht="15.75" hidden="1" thickBot="1">
      <c r="A1283" s="123">
        <v>1313</v>
      </c>
      <c r="B1283" s="123"/>
      <c r="C1283" s="123"/>
      <c r="D1283" s="123"/>
      <c r="E1283" s="123"/>
      <c r="F1283" s="123"/>
      <c r="G1283" s="127" t="s">
        <v>292</v>
      </c>
      <c r="H1283" s="128">
        <v>2006</v>
      </c>
      <c r="I1283" s="128" t="s">
        <v>94</v>
      </c>
      <c r="J1283" s="128">
        <f t="shared" si="40"/>
        <v>8</v>
      </c>
      <c r="K1283" s="128" t="s">
        <v>2491</v>
      </c>
      <c r="L1283" s="128" t="s">
        <v>30</v>
      </c>
      <c r="M1283" s="129" t="s">
        <v>174</v>
      </c>
      <c r="N1283" s="129" t="s">
        <v>28</v>
      </c>
      <c r="O1283" s="129" t="s">
        <v>28</v>
      </c>
      <c r="P1283" s="129" t="str">
        <f t="shared" ref="P1283:P1346" si="41">IF(O1283="N", "N/A", IF(AND(N1283="N",  O1283="Y"), "N", IF(AND(O1283="Y", N1283="Y"), "Y", "")))</f>
        <v>N/A</v>
      </c>
      <c r="Q1283" s="130"/>
      <c r="R1283" s="128">
        <v>2.94</v>
      </c>
      <c r="S1283" s="130"/>
      <c r="T1283" s="130" t="s">
        <v>31</v>
      </c>
      <c r="U1283" s="131" t="s">
        <v>2492</v>
      </c>
    </row>
    <row r="1284" spans="1:21" ht="15.75" hidden="1" thickBot="1">
      <c r="A1284" s="123">
        <v>1313</v>
      </c>
      <c r="B1284" s="123"/>
      <c r="C1284" s="123"/>
      <c r="D1284" s="123"/>
      <c r="E1284" s="123"/>
      <c r="F1284" s="123"/>
      <c r="G1284" s="127" t="s">
        <v>292</v>
      </c>
      <c r="H1284" s="128">
        <v>2006</v>
      </c>
      <c r="I1284" s="128" t="s">
        <v>94</v>
      </c>
      <c r="J1284" s="128">
        <f t="shared" si="40"/>
        <v>8</v>
      </c>
      <c r="K1284" s="128" t="s">
        <v>2600</v>
      </c>
      <c r="L1284" s="128" t="s">
        <v>40</v>
      </c>
      <c r="M1284" s="129" t="s">
        <v>31</v>
      </c>
      <c r="N1284" s="129" t="s">
        <v>28</v>
      </c>
      <c r="O1284" s="129" t="s">
        <v>28</v>
      </c>
      <c r="P1284" s="129" t="str">
        <f t="shared" si="41"/>
        <v>N/A</v>
      </c>
      <c r="Q1284" s="128" t="s">
        <v>2601</v>
      </c>
      <c r="R1284" s="128">
        <v>1.59</v>
      </c>
      <c r="S1284" s="130"/>
      <c r="T1284" s="130"/>
      <c r="U1284" s="131"/>
    </row>
    <row r="1285" spans="1:21" ht="15.75" hidden="1" thickBot="1">
      <c r="A1285" s="123">
        <v>1313</v>
      </c>
      <c r="B1285" s="123"/>
      <c r="C1285" s="123"/>
      <c r="D1285" s="123"/>
      <c r="E1285" s="123"/>
      <c r="F1285" s="123"/>
      <c r="G1285" s="127" t="s">
        <v>292</v>
      </c>
      <c r="H1285" s="128">
        <v>2006</v>
      </c>
      <c r="I1285" s="128" t="s">
        <v>94</v>
      </c>
      <c r="J1285" s="128">
        <f t="shared" si="40"/>
        <v>8</v>
      </c>
      <c r="K1285" s="128" t="s">
        <v>2602</v>
      </c>
      <c r="L1285" s="128" t="s">
        <v>30</v>
      </c>
      <c r="M1285" s="129" t="s">
        <v>31</v>
      </c>
      <c r="N1285" s="129" t="s">
        <v>28</v>
      </c>
      <c r="O1285" s="129" t="s">
        <v>28</v>
      </c>
      <c r="P1285" s="129" t="str">
        <f t="shared" si="41"/>
        <v>N/A</v>
      </c>
      <c r="Q1285" s="128" t="s">
        <v>2603</v>
      </c>
      <c r="R1285" s="128">
        <v>2.44</v>
      </c>
      <c r="S1285" s="130"/>
      <c r="T1285" s="130" t="s">
        <v>998</v>
      </c>
      <c r="U1285" s="131"/>
    </row>
    <row r="1286" spans="1:21" ht="15.75" hidden="1" thickBot="1">
      <c r="A1286" s="123">
        <v>1313</v>
      </c>
      <c r="B1286" s="123"/>
      <c r="C1286" s="123"/>
      <c r="D1286" s="123"/>
      <c r="E1286" s="123"/>
      <c r="F1286" s="123"/>
      <c r="G1286" s="127" t="s">
        <v>292</v>
      </c>
      <c r="H1286" s="128">
        <v>2006</v>
      </c>
      <c r="I1286" s="128" t="s">
        <v>94</v>
      </c>
      <c r="J1286" s="128">
        <f t="shared" si="40"/>
        <v>8</v>
      </c>
      <c r="K1286" s="128" t="s">
        <v>2604</v>
      </c>
      <c r="L1286" s="128" t="s">
        <v>30</v>
      </c>
      <c r="M1286" s="129" t="s">
        <v>201</v>
      </c>
      <c r="N1286" s="129" t="s">
        <v>28</v>
      </c>
      <c r="O1286" s="129" t="s">
        <v>28</v>
      </c>
      <c r="P1286" s="129" t="str">
        <f t="shared" si="41"/>
        <v>N/A</v>
      </c>
      <c r="Q1286" s="128" t="s">
        <v>2601</v>
      </c>
      <c r="R1286" s="128">
        <v>8.82</v>
      </c>
      <c r="S1286" s="130"/>
      <c r="T1286" s="130" t="s">
        <v>31</v>
      </c>
      <c r="U1286" s="131"/>
    </row>
    <row r="1287" spans="1:21" ht="15.75" hidden="1" thickBot="1">
      <c r="A1287" s="123">
        <v>1313</v>
      </c>
      <c r="B1287" s="123"/>
      <c r="C1287" s="123"/>
      <c r="D1287" s="123"/>
      <c r="E1287" s="123"/>
      <c r="F1287" s="123"/>
      <c r="G1287" s="127" t="s">
        <v>292</v>
      </c>
      <c r="H1287" s="128">
        <v>2006</v>
      </c>
      <c r="I1287" s="128" t="s">
        <v>94</v>
      </c>
      <c r="J1287" s="128">
        <f t="shared" si="40"/>
        <v>8</v>
      </c>
      <c r="K1287" s="128" t="s">
        <v>2549</v>
      </c>
      <c r="L1287" s="128" t="s">
        <v>30</v>
      </c>
      <c r="M1287" s="129" t="s">
        <v>1065</v>
      </c>
      <c r="N1287" s="129" t="s">
        <v>28</v>
      </c>
      <c r="O1287" s="129" t="s">
        <v>28</v>
      </c>
      <c r="P1287" s="129" t="str">
        <f t="shared" si="41"/>
        <v>N/A</v>
      </c>
      <c r="Q1287" s="132" t="s">
        <v>2605</v>
      </c>
      <c r="R1287" s="128">
        <v>3.75</v>
      </c>
      <c r="S1287" s="130"/>
      <c r="T1287" s="130" t="s">
        <v>31</v>
      </c>
      <c r="U1287" s="131"/>
    </row>
    <row r="1288" spans="1:21" ht="15.75" thickBot="1">
      <c r="A1288" s="123">
        <v>1313</v>
      </c>
      <c r="B1288" s="123"/>
      <c r="C1288" s="123"/>
      <c r="D1288" s="123"/>
      <c r="E1288" s="123"/>
      <c r="F1288" s="123"/>
      <c r="G1288" s="127" t="s">
        <v>292</v>
      </c>
      <c r="H1288" s="128">
        <v>2006</v>
      </c>
      <c r="I1288" s="128" t="s">
        <v>94</v>
      </c>
      <c r="J1288" s="128">
        <f t="shared" si="40"/>
        <v>8</v>
      </c>
      <c r="K1288" s="128" t="s">
        <v>324</v>
      </c>
      <c r="L1288" s="128" t="s">
        <v>30</v>
      </c>
      <c r="M1288" s="129" t="s">
        <v>1065</v>
      </c>
      <c r="N1288" s="129" t="s">
        <v>28</v>
      </c>
      <c r="O1288" s="129" t="s">
        <v>32</v>
      </c>
      <c r="P1288" s="129" t="str">
        <f t="shared" si="41"/>
        <v>N</v>
      </c>
      <c r="Q1288" s="128" t="s">
        <v>2606</v>
      </c>
      <c r="R1288" s="128">
        <v>35.94</v>
      </c>
      <c r="S1288" s="128">
        <v>38.700000000000003</v>
      </c>
      <c r="T1288" s="130" t="s">
        <v>31</v>
      </c>
      <c r="U1288" s="131"/>
    </row>
    <row r="1289" spans="1:21" ht="15.75" hidden="1" thickBot="1">
      <c r="A1289" s="123">
        <v>1313</v>
      </c>
      <c r="B1289" s="123"/>
      <c r="C1289" s="123"/>
      <c r="D1289" s="123"/>
      <c r="E1289" s="123"/>
      <c r="F1289" s="123"/>
      <c r="G1289" s="127" t="s">
        <v>292</v>
      </c>
      <c r="H1289" s="128">
        <v>2006</v>
      </c>
      <c r="I1289" s="128" t="s">
        <v>94</v>
      </c>
      <c r="J1289" s="128">
        <f t="shared" si="40"/>
        <v>8</v>
      </c>
      <c r="K1289" s="128" t="s">
        <v>293</v>
      </c>
      <c r="L1289" s="128" t="s">
        <v>30</v>
      </c>
      <c r="M1289" s="129" t="s">
        <v>31</v>
      </c>
      <c r="N1289" s="129" t="s">
        <v>32</v>
      </c>
      <c r="O1289" s="129" t="s">
        <v>28</v>
      </c>
      <c r="P1289" s="129" t="str">
        <f t="shared" si="41"/>
        <v>N/A</v>
      </c>
      <c r="Q1289" s="130"/>
      <c r="R1289" s="128">
        <v>43</v>
      </c>
      <c r="S1289" s="128">
        <v>61.3</v>
      </c>
      <c r="T1289" s="130"/>
      <c r="U1289" s="131"/>
    </row>
    <row r="1290" spans="1:21" ht="15.75" hidden="1" thickBot="1">
      <c r="A1290" s="123">
        <v>1314</v>
      </c>
      <c r="B1290" s="123"/>
      <c r="C1290" s="123"/>
      <c r="D1290" s="123"/>
      <c r="E1290" s="123"/>
      <c r="F1290" s="123"/>
      <c r="G1290" s="127" t="s">
        <v>292</v>
      </c>
      <c r="H1290" s="128">
        <v>2006</v>
      </c>
      <c r="I1290" s="128" t="s">
        <v>97</v>
      </c>
      <c r="J1290" s="128">
        <f t="shared" si="40"/>
        <v>1</v>
      </c>
      <c r="K1290" s="128" t="s">
        <v>313</v>
      </c>
      <c r="L1290" s="128" t="s">
        <v>40</v>
      </c>
      <c r="M1290" s="129" t="s">
        <v>1065</v>
      </c>
      <c r="N1290" s="129" t="s">
        <v>32</v>
      </c>
      <c r="O1290" s="129" t="s">
        <v>32</v>
      </c>
      <c r="P1290" s="129" t="str">
        <f t="shared" si="41"/>
        <v>Y</v>
      </c>
      <c r="Q1290" s="128" t="s">
        <v>2607</v>
      </c>
      <c r="R1290" s="128">
        <v>100</v>
      </c>
      <c r="S1290" s="130"/>
      <c r="T1290" s="130" t="s">
        <v>31</v>
      </c>
      <c r="U1290" s="131"/>
    </row>
    <row r="1291" spans="1:21" ht="26.25" thickBot="1">
      <c r="A1291" s="123">
        <v>1315</v>
      </c>
      <c r="B1291" s="123"/>
      <c r="C1291" s="123"/>
      <c r="D1291" s="123"/>
      <c r="E1291" s="123"/>
      <c r="F1291" s="123"/>
      <c r="G1291" s="127" t="s">
        <v>292</v>
      </c>
      <c r="H1291" s="128">
        <v>2006</v>
      </c>
      <c r="I1291" s="128" t="s">
        <v>100</v>
      </c>
      <c r="J1291" s="128">
        <f t="shared" si="40"/>
        <v>6</v>
      </c>
      <c r="K1291" s="128" t="s">
        <v>2608</v>
      </c>
      <c r="L1291" s="128" t="s">
        <v>30</v>
      </c>
      <c r="M1291" s="129" t="s">
        <v>31</v>
      </c>
      <c r="N1291" s="129" t="s">
        <v>28</v>
      </c>
      <c r="O1291" s="129"/>
      <c r="P1291" s="129" t="str">
        <f t="shared" si="41"/>
        <v/>
      </c>
      <c r="Q1291" s="128" t="s">
        <v>2609</v>
      </c>
      <c r="R1291" s="128">
        <v>3.59</v>
      </c>
      <c r="S1291" s="130"/>
      <c r="T1291" s="130" t="s">
        <v>1051</v>
      </c>
      <c r="U1291" s="131"/>
    </row>
    <row r="1292" spans="1:21" ht="15.75" thickBot="1">
      <c r="A1292" s="123">
        <v>1315</v>
      </c>
      <c r="B1292" s="123"/>
      <c r="C1292" s="123"/>
      <c r="D1292" s="123"/>
      <c r="E1292" s="123"/>
      <c r="F1292" s="123"/>
      <c r="G1292" s="127" t="s">
        <v>292</v>
      </c>
      <c r="H1292" s="128">
        <v>2006</v>
      </c>
      <c r="I1292" s="128" t="s">
        <v>100</v>
      </c>
      <c r="J1292" s="128">
        <f t="shared" si="40"/>
        <v>6</v>
      </c>
      <c r="K1292" s="128" t="s">
        <v>2610</v>
      </c>
      <c r="L1292" s="128" t="s">
        <v>30</v>
      </c>
      <c r="M1292" s="129" t="s">
        <v>34</v>
      </c>
      <c r="N1292" s="129" t="s">
        <v>28</v>
      </c>
      <c r="O1292" s="129"/>
      <c r="P1292" s="129" t="str">
        <f t="shared" si="41"/>
        <v/>
      </c>
      <c r="Q1292" s="128" t="s">
        <v>2611</v>
      </c>
      <c r="R1292" s="128">
        <v>2.5299999999999998</v>
      </c>
      <c r="S1292" s="130"/>
      <c r="T1292" s="130"/>
      <c r="U1292" s="131"/>
    </row>
    <row r="1293" spans="1:21" ht="15.75" thickBot="1">
      <c r="A1293" s="123">
        <v>1315</v>
      </c>
      <c r="B1293" s="123"/>
      <c r="C1293" s="123"/>
      <c r="D1293" s="123"/>
      <c r="E1293" s="123"/>
      <c r="F1293" s="123"/>
      <c r="G1293" s="127" t="s">
        <v>292</v>
      </c>
      <c r="H1293" s="128">
        <v>2006</v>
      </c>
      <c r="I1293" s="128" t="s">
        <v>100</v>
      </c>
      <c r="J1293" s="128">
        <f t="shared" si="40"/>
        <v>6</v>
      </c>
      <c r="K1293" s="128" t="s">
        <v>2612</v>
      </c>
      <c r="L1293" s="128" t="s">
        <v>30</v>
      </c>
      <c r="M1293" s="129" t="s">
        <v>31</v>
      </c>
      <c r="N1293" s="129" t="s">
        <v>28</v>
      </c>
      <c r="O1293" s="129"/>
      <c r="P1293" s="129" t="str">
        <f t="shared" si="41"/>
        <v/>
      </c>
      <c r="Q1293" s="128" t="s">
        <v>2613</v>
      </c>
      <c r="R1293" s="128">
        <v>21.4</v>
      </c>
      <c r="S1293" s="130"/>
      <c r="T1293" s="130" t="s">
        <v>1015</v>
      </c>
      <c r="U1293" s="131"/>
    </row>
    <row r="1294" spans="1:21" ht="15.75" thickBot="1">
      <c r="A1294" s="123">
        <v>1315</v>
      </c>
      <c r="B1294" s="123"/>
      <c r="C1294" s="123"/>
      <c r="D1294" s="123"/>
      <c r="E1294" s="123"/>
      <c r="F1294" s="123"/>
      <c r="G1294" s="127" t="s">
        <v>292</v>
      </c>
      <c r="H1294" s="128">
        <v>2006</v>
      </c>
      <c r="I1294" s="128" t="s">
        <v>100</v>
      </c>
      <c r="J1294" s="128">
        <f t="shared" si="40"/>
        <v>6</v>
      </c>
      <c r="K1294" s="128" t="s">
        <v>2537</v>
      </c>
      <c r="L1294" s="128" t="s">
        <v>30</v>
      </c>
      <c r="M1294" s="129" t="s">
        <v>31</v>
      </c>
      <c r="N1294" s="129" t="s">
        <v>28</v>
      </c>
      <c r="O1294" s="129"/>
      <c r="P1294" s="129" t="str">
        <f t="shared" si="41"/>
        <v/>
      </c>
      <c r="Q1294" s="128" t="s">
        <v>2614</v>
      </c>
      <c r="R1294" s="128">
        <v>20.3</v>
      </c>
      <c r="S1294" s="130"/>
      <c r="T1294" s="130" t="s">
        <v>1015</v>
      </c>
      <c r="U1294" s="131"/>
    </row>
    <row r="1295" spans="1:21" ht="15.75" thickBot="1">
      <c r="A1295" s="123">
        <v>1315</v>
      </c>
      <c r="B1295" s="123"/>
      <c r="C1295" s="123"/>
      <c r="D1295" s="123"/>
      <c r="E1295" s="123"/>
      <c r="F1295" s="123"/>
      <c r="G1295" s="127" t="s">
        <v>292</v>
      </c>
      <c r="H1295" s="128">
        <v>2006</v>
      </c>
      <c r="I1295" s="128" t="s">
        <v>100</v>
      </c>
      <c r="J1295" s="128">
        <f t="shared" si="40"/>
        <v>6</v>
      </c>
      <c r="K1295" s="128" t="s">
        <v>304</v>
      </c>
      <c r="L1295" s="128" t="s">
        <v>30</v>
      </c>
      <c r="M1295" s="129" t="s">
        <v>31</v>
      </c>
      <c r="N1295" s="129" t="s">
        <v>32</v>
      </c>
      <c r="O1295" s="129"/>
      <c r="P1295" s="129" t="str">
        <f t="shared" si="41"/>
        <v/>
      </c>
      <c r="Q1295" s="130"/>
      <c r="R1295" s="128">
        <v>30.57</v>
      </c>
      <c r="S1295" s="130"/>
      <c r="T1295" s="130" t="s">
        <v>31</v>
      </c>
      <c r="U1295" s="131"/>
    </row>
    <row r="1296" spans="1:21" ht="15.75" thickBot="1">
      <c r="A1296" s="123">
        <v>1315</v>
      </c>
      <c r="B1296" s="123"/>
      <c r="C1296" s="123"/>
      <c r="D1296" s="123"/>
      <c r="E1296" s="123"/>
      <c r="F1296" s="123"/>
      <c r="G1296" s="127" t="s">
        <v>292</v>
      </c>
      <c r="H1296" s="128">
        <v>2006</v>
      </c>
      <c r="I1296" s="128" t="s">
        <v>100</v>
      </c>
      <c r="J1296" s="128">
        <f t="shared" si="40"/>
        <v>6</v>
      </c>
      <c r="K1296" s="128" t="s">
        <v>2615</v>
      </c>
      <c r="L1296" s="128" t="s">
        <v>30</v>
      </c>
      <c r="M1296" s="129" t="s">
        <v>31</v>
      </c>
      <c r="N1296" s="129" t="s">
        <v>28</v>
      </c>
      <c r="O1296" s="129"/>
      <c r="P1296" s="129" t="str">
        <f t="shared" si="41"/>
        <v/>
      </c>
      <c r="Q1296" s="130"/>
      <c r="R1296" s="128">
        <v>21.61</v>
      </c>
      <c r="S1296" s="130"/>
      <c r="T1296" s="130"/>
      <c r="U1296" s="131"/>
    </row>
    <row r="1297" spans="1:21" ht="15.75" hidden="1" thickBot="1">
      <c r="A1297" s="123">
        <v>1316</v>
      </c>
      <c r="B1297" s="123"/>
      <c r="C1297" s="123"/>
      <c r="D1297" s="123"/>
      <c r="E1297" s="123"/>
      <c r="F1297" s="123"/>
      <c r="G1297" s="127" t="s">
        <v>292</v>
      </c>
      <c r="H1297" s="128">
        <v>2006</v>
      </c>
      <c r="I1297" s="128" t="s">
        <v>82</v>
      </c>
      <c r="J1297" s="128">
        <f t="shared" si="40"/>
        <v>1</v>
      </c>
      <c r="K1297" s="128" t="s">
        <v>311</v>
      </c>
      <c r="L1297" s="128" t="s">
        <v>40</v>
      </c>
      <c r="M1297" s="129" t="s">
        <v>34</v>
      </c>
      <c r="N1297" s="129" t="s">
        <v>32</v>
      </c>
      <c r="O1297" s="129" t="s">
        <v>32</v>
      </c>
      <c r="P1297" s="129" t="str">
        <f t="shared" si="41"/>
        <v>Y</v>
      </c>
      <c r="Q1297" s="130"/>
      <c r="R1297" s="128">
        <v>100</v>
      </c>
      <c r="S1297" s="130"/>
      <c r="T1297" s="130" t="s">
        <v>31</v>
      </c>
      <c r="U1297" s="131"/>
    </row>
    <row r="1298" spans="1:21" ht="15.75" hidden="1" thickBot="1">
      <c r="A1298" s="123">
        <v>1317</v>
      </c>
      <c r="B1298" s="123"/>
      <c r="C1298" s="123"/>
      <c r="D1298" s="123"/>
      <c r="E1298" s="123"/>
      <c r="F1298" s="123"/>
      <c r="G1298" s="127" t="s">
        <v>292</v>
      </c>
      <c r="H1298" s="128">
        <v>2006</v>
      </c>
      <c r="I1298" s="128" t="s">
        <v>300</v>
      </c>
      <c r="J1298" s="128">
        <f t="shared" si="40"/>
        <v>3</v>
      </c>
      <c r="K1298" s="128" t="s">
        <v>2616</v>
      </c>
      <c r="L1298" s="128" t="s">
        <v>30</v>
      </c>
      <c r="M1298" s="129" t="s">
        <v>1065</v>
      </c>
      <c r="N1298" s="129" t="s">
        <v>28</v>
      </c>
      <c r="O1298" s="129" t="s">
        <v>28</v>
      </c>
      <c r="P1298" s="129" t="str">
        <f t="shared" si="41"/>
        <v>N/A</v>
      </c>
      <c r="Q1298" s="130"/>
      <c r="R1298" s="128">
        <v>16.97</v>
      </c>
      <c r="S1298" s="130"/>
      <c r="T1298" s="130" t="s">
        <v>2617</v>
      </c>
      <c r="U1298" s="131"/>
    </row>
    <row r="1299" spans="1:21" ht="15.75" hidden="1" thickBot="1">
      <c r="A1299" s="123">
        <v>1317</v>
      </c>
      <c r="B1299" s="123"/>
      <c r="C1299" s="123"/>
      <c r="D1299" s="123"/>
      <c r="E1299" s="123"/>
      <c r="F1299" s="123"/>
      <c r="G1299" s="127" t="s">
        <v>292</v>
      </c>
      <c r="H1299" s="128">
        <v>2006</v>
      </c>
      <c r="I1299" s="128" t="s">
        <v>300</v>
      </c>
      <c r="J1299" s="128">
        <f t="shared" si="40"/>
        <v>3</v>
      </c>
      <c r="K1299" s="128" t="s">
        <v>314</v>
      </c>
      <c r="L1299" s="128" t="s">
        <v>40</v>
      </c>
      <c r="M1299" s="129" t="s">
        <v>31</v>
      </c>
      <c r="N1299" s="129" t="s">
        <v>32</v>
      </c>
      <c r="O1299" s="129" t="s">
        <v>32</v>
      </c>
      <c r="P1299" s="129" t="str">
        <f t="shared" si="41"/>
        <v>Y</v>
      </c>
      <c r="Q1299" s="128" t="s">
        <v>2618</v>
      </c>
      <c r="R1299" s="128">
        <v>63.63</v>
      </c>
      <c r="S1299" s="130"/>
      <c r="T1299" s="130" t="s">
        <v>31</v>
      </c>
      <c r="U1299" s="131"/>
    </row>
    <row r="1300" spans="1:21" ht="15.75" hidden="1" thickBot="1">
      <c r="A1300" s="123">
        <v>1317</v>
      </c>
      <c r="B1300" s="123"/>
      <c r="C1300" s="123"/>
      <c r="D1300" s="123"/>
      <c r="E1300" s="123"/>
      <c r="F1300" s="123"/>
      <c r="G1300" s="127" t="s">
        <v>292</v>
      </c>
      <c r="H1300" s="128">
        <v>2006</v>
      </c>
      <c r="I1300" s="128" t="s">
        <v>300</v>
      </c>
      <c r="J1300" s="128">
        <f t="shared" si="40"/>
        <v>3</v>
      </c>
      <c r="K1300" s="128" t="s">
        <v>2619</v>
      </c>
      <c r="L1300" s="128" t="s">
        <v>30</v>
      </c>
      <c r="M1300" s="129" t="s">
        <v>31</v>
      </c>
      <c r="N1300" s="129" t="s">
        <v>28</v>
      </c>
      <c r="O1300" s="129" t="s">
        <v>28</v>
      </c>
      <c r="P1300" s="129" t="str">
        <f t="shared" si="41"/>
        <v>N/A</v>
      </c>
      <c r="Q1300" s="128" t="s">
        <v>1004</v>
      </c>
      <c r="R1300" s="128">
        <v>19.399999999999999</v>
      </c>
      <c r="S1300" s="130"/>
      <c r="T1300" s="130"/>
      <c r="U1300" s="131"/>
    </row>
    <row r="1301" spans="1:21" ht="26.25" thickBot="1">
      <c r="A1301" s="123">
        <v>1310</v>
      </c>
      <c r="B1301" s="123"/>
      <c r="C1301" s="123"/>
      <c r="D1301" s="123"/>
      <c r="E1301" s="123"/>
      <c r="F1301" s="123"/>
      <c r="G1301" s="127" t="s">
        <v>292</v>
      </c>
      <c r="H1301" s="128">
        <v>2007</v>
      </c>
      <c r="I1301" s="128" t="s">
        <v>79</v>
      </c>
      <c r="J1301" s="128">
        <f t="shared" si="40"/>
        <v>8</v>
      </c>
      <c r="K1301" s="128" t="s">
        <v>2620</v>
      </c>
      <c r="L1301" s="128" t="s">
        <v>30</v>
      </c>
      <c r="M1301" s="129" t="s">
        <v>34</v>
      </c>
      <c r="N1301" s="129" t="s">
        <v>28</v>
      </c>
      <c r="O1301" s="129"/>
      <c r="P1301" s="129" t="str">
        <f t="shared" si="41"/>
        <v/>
      </c>
      <c r="Q1301" s="128" t="s">
        <v>2621</v>
      </c>
      <c r="R1301" s="128">
        <v>18.46</v>
      </c>
      <c r="S1301" s="130"/>
      <c r="T1301" s="130" t="s">
        <v>1051</v>
      </c>
      <c r="U1301" s="131"/>
    </row>
    <row r="1302" spans="1:21" ht="15.75" thickBot="1">
      <c r="A1302" s="123">
        <v>1310</v>
      </c>
      <c r="B1302" s="123"/>
      <c r="C1302" s="123"/>
      <c r="D1302" s="123"/>
      <c r="E1302" s="123"/>
      <c r="F1302" s="123"/>
      <c r="G1302" s="127" t="s">
        <v>292</v>
      </c>
      <c r="H1302" s="128">
        <v>2007</v>
      </c>
      <c r="I1302" s="128" t="s">
        <v>79</v>
      </c>
      <c r="J1302" s="128">
        <f t="shared" si="40"/>
        <v>8</v>
      </c>
      <c r="K1302" s="128" t="s">
        <v>2622</v>
      </c>
      <c r="L1302" s="128" t="s">
        <v>40</v>
      </c>
      <c r="M1302" s="129" t="s">
        <v>34</v>
      </c>
      <c r="N1302" s="129" t="s">
        <v>28</v>
      </c>
      <c r="O1302" s="129"/>
      <c r="P1302" s="129" t="str">
        <f t="shared" si="41"/>
        <v/>
      </c>
      <c r="Q1302" s="128" t="s">
        <v>2623</v>
      </c>
      <c r="R1302" s="128">
        <v>24.74</v>
      </c>
      <c r="S1302" s="128">
        <v>35.270000000000003</v>
      </c>
      <c r="T1302" s="130" t="s">
        <v>1069</v>
      </c>
      <c r="U1302" s="131"/>
    </row>
    <row r="1303" spans="1:21" ht="15.75" thickBot="1">
      <c r="A1303" s="123">
        <v>1310</v>
      </c>
      <c r="B1303" s="123"/>
      <c r="C1303" s="123"/>
      <c r="D1303" s="123"/>
      <c r="E1303" s="123"/>
      <c r="F1303" s="123"/>
      <c r="G1303" s="127" t="s">
        <v>292</v>
      </c>
      <c r="H1303" s="128">
        <v>2007</v>
      </c>
      <c r="I1303" s="128" t="s">
        <v>79</v>
      </c>
      <c r="J1303" s="128">
        <f t="shared" si="40"/>
        <v>8</v>
      </c>
      <c r="K1303" s="128" t="s">
        <v>2533</v>
      </c>
      <c r="L1303" s="128" t="s">
        <v>30</v>
      </c>
      <c r="M1303" s="129" t="s">
        <v>1065</v>
      </c>
      <c r="N1303" s="129" t="s">
        <v>28</v>
      </c>
      <c r="O1303" s="129"/>
      <c r="P1303" s="129" t="str">
        <f t="shared" si="41"/>
        <v/>
      </c>
      <c r="Q1303" s="130"/>
      <c r="R1303" s="128">
        <v>6.54</v>
      </c>
      <c r="S1303" s="130"/>
      <c r="T1303" s="130"/>
      <c r="U1303" s="131"/>
    </row>
    <row r="1304" spans="1:21" ht="15.75" thickBot="1">
      <c r="A1304" s="123">
        <v>1310</v>
      </c>
      <c r="B1304" s="123"/>
      <c r="C1304" s="123"/>
      <c r="D1304" s="123"/>
      <c r="E1304" s="123"/>
      <c r="F1304" s="123"/>
      <c r="G1304" s="127" t="s">
        <v>292</v>
      </c>
      <c r="H1304" s="128">
        <v>2007</v>
      </c>
      <c r="I1304" s="128" t="s">
        <v>79</v>
      </c>
      <c r="J1304" s="128">
        <f t="shared" si="40"/>
        <v>8</v>
      </c>
      <c r="K1304" s="128" t="s">
        <v>2624</v>
      </c>
      <c r="L1304" s="128" t="s">
        <v>40</v>
      </c>
      <c r="M1304" s="129" t="s">
        <v>201</v>
      </c>
      <c r="N1304" s="129" t="s">
        <v>28</v>
      </c>
      <c r="O1304" s="129"/>
      <c r="P1304" s="129" t="str">
        <f t="shared" si="41"/>
        <v/>
      </c>
      <c r="Q1304" s="128" t="s">
        <v>2625</v>
      </c>
      <c r="R1304" s="128">
        <v>2.17</v>
      </c>
      <c r="S1304" s="130"/>
      <c r="T1304" s="130" t="s">
        <v>998</v>
      </c>
      <c r="U1304" s="131"/>
    </row>
    <row r="1305" spans="1:21" ht="15.75" thickBot="1">
      <c r="A1305" s="123">
        <v>1310</v>
      </c>
      <c r="B1305" s="123"/>
      <c r="C1305" s="123"/>
      <c r="D1305" s="123"/>
      <c r="E1305" s="123"/>
      <c r="F1305" s="123"/>
      <c r="G1305" s="127" t="s">
        <v>292</v>
      </c>
      <c r="H1305" s="128">
        <v>2007</v>
      </c>
      <c r="I1305" s="128" t="s">
        <v>79</v>
      </c>
      <c r="J1305" s="128">
        <f t="shared" si="40"/>
        <v>8</v>
      </c>
      <c r="K1305" s="128" t="s">
        <v>2626</v>
      </c>
      <c r="L1305" s="128" t="s">
        <v>30</v>
      </c>
      <c r="M1305" s="129" t="s">
        <v>31</v>
      </c>
      <c r="N1305" s="129" t="s">
        <v>28</v>
      </c>
      <c r="O1305" s="129"/>
      <c r="P1305" s="129" t="str">
        <f t="shared" si="41"/>
        <v/>
      </c>
      <c r="Q1305" s="128" t="s">
        <v>2627</v>
      </c>
      <c r="R1305" s="128">
        <v>10.52</v>
      </c>
      <c r="S1305" s="130"/>
      <c r="T1305" s="130" t="s">
        <v>31</v>
      </c>
      <c r="U1305" s="131"/>
    </row>
    <row r="1306" spans="1:21" ht="15.75" thickBot="1">
      <c r="A1306" s="123">
        <v>1310</v>
      </c>
      <c r="B1306" s="123"/>
      <c r="C1306" s="123"/>
      <c r="D1306" s="123"/>
      <c r="E1306" s="123"/>
      <c r="F1306" s="123"/>
      <c r="G1306" s="127" t="s">
        <v>292</v>
      </c>
      <c r="H1306" s="128">
        <v>2007</v>
      </c>
      <c r="I1306" s="128" t="s">
        <v>79</v>
      </c>
      <c r="J1306" s="128">
        <f t="shared" si="40"/>
        <v>8</v>
      </c>
      <c r="K1306" s="128" t="s">
        <v>303</v>
      </c>
      <c r="L1306" s="128" t="s">
        <v>30</v>
      </c>
      <c r="M1306" s="129" t="s">
        <v>34</v>
      </c>
      <c r="N1306" s="129" t="s">
        <v>32</v>
      </c>
      <c r="O1306" s="129"/>
      <c r="P1306" s="129" t="str">
        <f t="shared" si="41"/>
        <v/>
      </c>
      <c r="Q1306" s="130"/>
      <c r="R1306" s="128">
        <v>31</v>
      </c>
      <c r="S1306" s="128">
        <v>64.73</v>
      </c>
      <c r="T1306" s="130"/>
      <c r="U1306" s="131"/>
    </row>
    <row r="1307" spans="1:21" ht="15.75" thickBot="1">
      <c r="A1307" s="123">
        <v>1310</v>
      </c>
      <c r="B1307" s="123"/>
      <c r="C1307" s="123"/>
      <c r="D1307" s="123"/>
      <c r="E1307" s="123"/>
      <c r="F1307" s="123"/>
      <c r="G1307" s="127" t="s">
        <v>292</v>
      </c>
      <c r="H1307" s="128">
        <v>2007</v>
      </c>
      <c r="I1307" s="128" t="s">
        <v>79</v>
      </c>
      <c r="J1307" s="128">
        <f t="shared" si="40"/>
        <v>8</v>
      </c>
      <c r="K1307" s="128" t="s">
        <v>2628</v>
      </c>
      <c r="L1307" s="128" t="s">
        <v>40</v>
      </c>
      <c r="M1307" s="129" t="s">
        <v>1003</v>
      </c>
      <c r="N1307" s="129" t="s">
        <v>28</v>
      </c>
      <c r="O1307" s="129"/>
      <c r="P1307" s="129" t="str">
        <f t="shared" si="41"/>
        <v/>
      </c>
      <c r="Q1307" s="128" t="s">
        <v>1004</v>
      </c>
      <c r="R1307" s="128">
        <v>5.68</v>
      </c>
      <c r="S1307" s="130"/>
      <c r="T1307" s="130"/>
      <c r="U1307" s="131"/>
    </row>
    <row r="1308" spans="1:21" ht="15.75" hidden="1" thickBot="1">
      <c r="A1308" s="123">
        <v>1310</v>
      </c>
      <c r="B1308" s="123"/>
      <c r="C1308" s="123"/>
      <c r="D1308" s="123"/>
      <c r="E1308" s="123"/>
      <c r="F1308" s="123"/>
      <c r="G1308" s="127" t="s">
        <v>292</v>
      </c>
      <c r="H1308" s="128">
        <v>2007</v>
      </c>
      <c r="I1308" s="128" t="s">
        <v>79</v>
      </c>
      <c r="J1308" s="128">
        <f t="shared" si="40"/>
        <v>8</v>
      </c>
      <c r="K1308" s="128" t="s">
        <v>2629</v>
      </c>
      <c r="L1308" s="128" t="s">
        <v>30</v>
      </c>
      <c r="M1308" s="129" t="s">
        <v>1003</v>
      </c>
      <c r="N1308" s="129" t="s">
        <v>28</v>
      </c>
      <c r="O1308" s="129" t="s">
        <v>28</v>
      </c>
      <c r="P1308" s="129" t="str">
        <f t="shared" si="41"/>
        <v>N/A</v>
      </c>
      <c r="Q1308" s="132" t="s">
        <v>2630</v>
      </c>
      <c r="R1308" s="128">
        <v>0.87</v>
      </c>
      <c r="S1308" s="130"/>
      <c r="T1308" s="130"/>
      <c r="U1308" s="131"/>
    </row>
    <row r="1309" spans="1:21" ht="15.75" thickBot="1">
      <c r="A1309" s="45" t="s">
        <v>2631</v>
      </c>
      <c r="B1309" s="123"/>
      <c r="C1309" s="123"/>
      <c r="D1309" s="123"/>
      <c r="E1309" s="123"/>
      <c r="F1309" s="123"/>
      <c r="G1309" s="127" t="s">
        <v>292</v>
      </c>
      <c r="H1309" s="128">
        <v>2007</v>
      </c>
      <c r="I1309" s="128" t="s">
        <v>100</v>
      </c>
      <c r="J1309" s="128">
        <f t="shared" si="40"/>
        <v>2</v>
      </c>
      <c r="K1309" s="128" t="s">
        <v>304</v>
      </c>
      <c r="L1309" s="128" t="s">
        <v>30</v>
      </c>
      <c r="M1309" s="129" t="s">
        <v>31</v>
      </c>
      <c r="N1309" s="129" t="s">
        <v>32</v>
      </c>
      <c r="O1309" s="129"/>
      <c r="P1309" s="129" t="str">
        <f t="shared" si="41"/>
        <v/>
      </c>
      <c r="Q1309" s="130"/>
      <c r="R1309" s="128">
        <v>58.2</v>
      </c>
      <c r="S1309" s="130"/>
      <c r="T1309" s="130"/>
      <c r="U1309" s="131"/>
    </row>
    <row r="1310" spans="1:21" ht="15.75" thickBot="1">
      <c r="A1310" s="45" t="s">
        <v>2631</v>
      </c>
      <c r="B1310" s="123"/>
      <c r="C1310" s="123"/>
      <c r="D1310" s="123"/>
      <c r="E1310" s="123"/>
      <c r="F1310" s="123"/>
      <c r="G1310" s="127" t="s">
        <v>292</v>
      </c>
      <c r="H1310" s="128">
        <v>2007</v>
      </c>
      <c r="I1310" s="128" t="s">
        <v>100</v>
      </c>
      <c r="J1310" s="128">
        <f t="shared" si="40"/>
        <v>2</v>
      </c>
      <c r="K1310" s="128" t="s">
        <v>2615</v>
      </c>
      <c r="L1310" s="128" t="s">
        <v>30</v>
      </c>
      <c r="M1310" s="129" t="s">
        <v>31</v>
      </c>
      <c r="N1310" s="129" t="s">
        <v>28</v>
      </c>
      <c r="O1310" s="129"/>
      <c r="P1310" s="129" t="str">
        <f t="shared" si="41"/>
        <v/>
      </c>
      <c r="Q1310" s="128" t="s">
        <v>2632</v>
      </c>
      <c r="R1310" s="128">
        <v>41.8</v>
      </c>
      <c r="S1310" s="130"/>
      <c r="T1310" s="130" t="s">
        <v>31</v>
      </c>
      <c r="U1310" s="131"/>
    </row>
    <row r="1311" spans="1:21" ht="26.25" thickBot="1">
      <c r="A1311" s="123">
        <v>1305</v>
      </c>
      <c r="B1311" s="123"/>
      <c r="C1311" s="123"/>
      <c r="D1311" s="123"/>
      <c r="E1311" s="123"/>
      <c r="F1311" s="123"/>
      <c r="G1311" s="127" t="s">
        <v>292</v>
      </c>
      <c r="H1311" s="128">
        <v>2008</v>
      </c>
      <c r="I1311" s="128" t="s">
        <v>91</v>
      </c>
      <c r="J1311" s="128">
        <f t="shared" si="40"/>
        <v>6</v>
      </c>
      <c r="K1311" s="128" t="s">
        <v>302</v>
      </c>
      <c r="L1311" s="128" t="s">
        <v>30</v>
      </c>
      <c r="M1311" s="129" t="s">
        <v>34</v>
      </c>
      <c r="N1311" s="129" t="s">
        <v>32</v>
      </c>
      <c r="O1311" s="129"/>
      <c r="P1311" s="129" t="str">
        <f t="shared" si="41"/>
        <v/>
      </c>
      <c r="Q1311" s="130"/>
      <c r="R1311" s="128">
        <v>42.21</v>
      </c>
      <c r="S1311" s="128">
        <v>54.43</v>
      </c>
      <c r="T1311" s="130" t="s">
        <v>2633</v>
      </c>
      <c r="U1311" s="131"/>
    </row>
    <row r="1312" spans="1:21" ht="15.75" thickBot="1">
      <c r="A1312" s="123">
        <v>1305</v>
      </c>
      <c r="B1312" s="123"/>
      <c r="C1312" s="123"/>
      <c r="D1312" s="123"/>
      <c r="E1312" s="123"/>
      <c r="F1312" s="123"/>
      <c r="G1312" s="127" t="s">
        <v>292</v>
      </c>
      <c r="H1312" s="128">
        <v>2008</v>
      </c>
      <c r="I1312" s="128" t="s">
        <v>91</v>
      </c>
      <c r="J1312" s="128">
        <f t="shared" si="40"/>
        <v>6</v>
      </c>
      <c r="K1312" s="128" t="s">
        <v>2634</v>
      </c>
      <c r="L1312" s="128" t="s">
        <v>30</v>
      </c>
      <c r="M1312" s="129" t="s">
        <v>34</v>
      </c>
      <c r="N1312" s="129" t="s">
        <v>28</v>
      </c>
      <c r="O1312" s="129"/>
      <c r="P1312" s="129" t="str">
        <f t="shared" si="41"/>
        <v/>
      </c>
      <c r="Q1312" s="128" t="s">
        <v>2635</v>
      </c>
      <c r="R1312" s="128">
        <v>5.74</v>
      </c>
      <c r="S1312" s="130"/>
      <c r="T1312" s="130"/>
      <c r="U1312" s="131"/>
    </row>
    <row r="1313" spans="1:21" ht="15.75" thickBot="1">
      <c r="A1313" s="123">
        <v>1305</v>
      </c>
      <c r="B1313" s="123"/>
      <c r="C1313" s="123"/>
      <c r="D1313" s="123"/>
      <c r="E1313" s="123"/>
      <c r="F1313" s="123"/>
      <c r="G1313" s="127" t="s">
        <v>292</v>
      </c>
      <c r="H1313" s="128">
        <v>2008</v>
      </c>
      <c r="I1313" s="128" t="s">
        <v>91</v>
      </c>
      <c r="J1313" s="128">
        <f t="shared" si="40"/>
        <v>6</v>
      </c>
      <c r="K1313" s="128" t="s">
        <v>2636</v>
      </c>
      <c r="L1313" s="128" t="s">
        <v>40</v>
      </c>
      <c r="M1313" s="129" t="s">
        <v>201</v>
      </c>
      <c r="N1313" s="129" t="s">
        <v>28</v>
      </c>
      <c r="O1313" s="129"/>
      <c r="P1313" s="129" t="str">
        <f t="shared" si="41"/>
        <v/>
      </c>
      <c r="Q1313" s="128" t="s">
        <v>2637</v>
      </c>
      <c r="R1313" s="128">
        <v>18.559999999999999</v>
      </c>
      <c r="S1313" s="128">
        <v>45.57</v>
      </c>
      <c r="T1313" s="130" t="s">
        <v>31</v>
      </c>
      <c r="U1313" s="131"/>
    </row>
    <row r="1314" spans="1:21" ht="15.75" thickBot="1">
      <c r="A1314" s="123">
        <v>1305</v>
      </c>
      <c r="B1314" s="123"/>
      <c r="C1314" s="123"/>
      <c r="D1314" s="123"/>
      <c r="E1314" s="123"/>
      <c r="F1314" s="123"/>
      <c r="G1314" s="127" t="s">
        <v>292</v>
      </c>
      <c r="H1314" s="128">
        <v>2008</v>
      </c>
      <c r="I1314" s="128" t="s">
        <v>91</v>
      </c>
      <c r="J1314" s="128">
        <f t="shared" si="40"/>
        <v>6</v>
      </c>
      <c r="K1314" s="128" t="s">
        <v>2638</v>
      </c>
      <c r="L1314" s="128" t="s">
        <v>30</v>
      </c>
      <c r="M1314" s="129" t="s">
        <v>1003</v>
      </c>
      <c r="N1314" s="129" t="s">
        <v>28</v>
      </c>
      <c r="O1314" s="129"/>
      <c r="P1314" s="129" t="str">
        <f t="shared" si="41"/>
        <v/>
      </c>
      <c r="Q1314" s="128" t="s">
        <v>2639</v>
      </c>
      <c r="R1314" s="128">
        <v>7.09</v>
      </c>
      <c r="S1314" s="130"/>
      <c r="T1314" s="130"/>
      <c r="U1314" s="131"/>
    </row>
    <row r="1315" spans="1:21" ht="15.75" thickBot="1">
      <c r="A1315" s="123">
        <v>1305</v>
      </c>
      <c r="B1315" s="123"/>
      <c r="C1315" s="123"/>
      <c r="D1315" s="123"/>
      <c r="E1315" s="123"/>
      <c r="F1315" s="123"/>
      <c r="G1315" s="127" t="s">
        <v>292</v>
      </c>
      <c r="H1315" s="128">
        <v>2008</v>
      </c>
      <c r="I1315" s="128" t="s">
        <v>91</v>
      </c>
      <c r="J1315" s="128">
        <f t="shared" si="40"/>
        <v>6</v>
      </c>
      <c r="K1315" s="128" t="s">
        <v>2640</v>
      </c>
      <c r="L1315" s="128" t="s">
        <v>30</v>
      </c>
      <c r="M1315" s="129" t="s">
        <v>34</v>
      </c>
      <c r="N1315" s="129" t="s">
        <v>28</v>
      </c>
      <c r="O1315" s="129"/>
      <c r="P1315" s="129" t="str">
        <f t="shared" si="41"/>
        <v/>
      </c>
      <c r="Q1315" s="128" t="s">
        <v>2641</v>
      </c>
      <c r="R1315" s="128">
        <v>18.46</v>
      </c>
      <c r="S1315" s="130"/>
      <c r="T1315" s="130"/>
      <c r="U1315" s="131"/>
    </row>
    <row r="1316" spans="1:21" ht="15.75" thickBot="1">
      <c r="A1316" s="123">
        <v>1305</v>
      </c>
      <c r="B1316" s="123"/>
      <c r="C1316" s="123"/>
      <c r="D1316" s="123"/>
      <c r="E1316" s="123"/>
      <c r="F1316" s="123"/>
      <c r="G1316" s="127" t="s">
        <v>292</v>
      </c>
      <c r="H1316" s="128">
        <v>2008</v>
      </c>
      <c r="I1316" s="128" t="s">
        <v>91</v>
      </c>
      <c r="J1316" s="128">
        <f t="shared" si="40"/>
        <v>6</v>
      </c>
      <c r="K1316" s="128" t="s">
        <v>2562</v>
      </c>
      <c r="L1316" s="128" t="s">
        <v>30</v>
      </c>
      <c r="M1316" s="129" t="s">
        <v>31</v>
      </c>
      <c r="N1316" s="129" t="s">
        <v>28</v>
      </c>
      <c r="O1316" s="129"/>
      <c r="P1316" s="129" t="str">
        <f t="shared" si="41"/>
        <v/>
      </c>
      <c r="Q1316" s="128" t="s">
        <v>2642</v>
      </c>
      <c r="R1316" s="128">
        <v>7.94</v>
      </c>
      <c r="S1316" s="130"/>
      <c r="T1316" s="130" t="s">
        <v>1015</v>
      </c>
      <c r="U1316" s="131"/>
    </row>
    <row r="1317" spans="1:21" ht="15.75" hidden="1" thickBot="1">
      <c r="A1317" s="123">
        <v>1306</v>
      </c>
      <c r="B1317" s="123"/>
      <c r="C1317" s="123"/>
      <c r="D1317" s="123"/>
      <c r="E1317" s="123"/>
      <c r="F1317" s="123"/>
      <c r="G1317" s="127" t="s">
        <v>292</v>
      </c>
      <c r="H1317" s="128">
        <v>2008</v>
      </c>
      <c r="I1317" s="128" t="s">
        <v>79</v>
      </c>
      <c r="J1317" s="128">
        <f t="shared" si="40"/>
        <v>1</v>
      </c>
      <c r="K1317" s="128" t="s">
        <v>303</v>
      </c>
      <c r="L1317" s="128" t="s">
        <v>30</v>
      </c>
      <c r="M1317" s="129" t="s">
        <v>34</v>
      </c>
      <c r="N1317" s="129" t="s">
        <v>32</v>
      </c>
      <c r="O1317" s="129" t="s">
        <v>32</v>
      </c>
      <c r="P1317" s="129" t="str">
        <f t="shared" si="41"/>
        <v>Y</v>
      </c>
      <c r="Q1317" s="130"/>
      <c r="R1317" s="168">
        <v>100</v>
      </c>
      <c r="S1317" s="130"/>
      <c r="T1317" s="130"/>
      <c r="U1317" s="131"/>
    </row>
    <row r="1318" spans="1:21" ht="15.75" hidden="1" thickBot="1">
      <c r="A1318" s="123">
        <v>1307</v>
      </c>
      <c r="B1318" s="123"/>
      <c r="C1318" s="123"/>
      <c r="D1318" s="123"/>
      <c r="E1318" s="123"/>
      <c r="F1318" s="123"/>
      <c r="G1318" s="127" t="s">
        <v>292</v>
      </c>
      <c r="H1318" s="128">
        <v>2008</v>
      </c>
      <c r="I1318" s="128" t="s">
        <v>100</v>
      </c>
      <c r="J1318" s="128">
        <f t="shared" si="40"/>
        <v>1</v>
      </c>
      <c r="K1318" s="128" t="s">
        <v>304</v>
      </c>
      <c r="L1318" s="128" t="s">
        <v>30</v>
      </c>
      <c r="M1318" s="129" t="s">
        <v>31</v>
      </c>
      <c r="N1318" s="129" t="s">
        <v>32</v>
      </c>
      <c r="O1318" s="129" t="s">
        <v>32</v>
      </c>
      <c r="P1318" s="129" t="str">
        <f t="shared" si="41"/>
        <v>Y</v>
      </c>
      <c r="Q1318" s="130"/>
      <c r="R1318" s="168">
        <v>100</v>
      </c>
      <c r="S1318" s="130"/>
      <c r="T1318" s="130" t="s">
        <v>31</v>
      </c>
      <c r="U1318" s="131"/>
    </row>
    <row r="1319" spans="1:21" ht="15.75" thickBot="1">
      <c r="A1319" s="123">
        <v>1308</v>
      </c>
      <c r="B1319" s="123"/>
      <c r="C1319" s="123"/>
      <c r="D1319" s="123"/>
      <c r="E1319" s="123"/>
      <c r="F1319" s="123"/>
      <c r="G1319" s="127" t="s">
        <v>292</v>
      </c>
      <c r="H1319" s="128">
        <v>2008</v>
      </c>
      <c r="I1319" s="128" t="s">
        <v>85</v>
      </c>
      <c r="J1319" s="128">
        <f t="shared" si="40"/>
        <v>8</v>
      </c>
      <c r="K1319" s="128" t="s">
        <v>2643</v>
      </c>
      <c r="L1319" s="128" t="s">
        <v>30</v>
      </c>
      <c r="M1319" s="129" t="s">
        <v>201</v>
      </c>
      <c r="N1319" s="129" t="s">
        <v>28</v>
      </c>
      <c r="O1319" s="129"/>
      <c r="P1319" s="129" t="str">
        <f t="shared" si="41"/>
        <v/>
      </c>
      <c r="Q1319" s="128" t="s">
        <v>2644</v>
      </c>
      <c r="R1319" s="128">
        <v>14.05</v>
      </c>
      <c r="S1319" s="130"/>
      <c r="T1319" s="130" t="s">
        <v>1069</v>
      </c>
      <c r="U1319" s="131"/>
    </row>
    <row r="1320" spans="1:21" ht="15.75" thickBot="1">
      <c r="A1320" s="123">
        <v>1308</v>
      </c>
      <c r="B1320" s="123"/>
      <c r="C1320" s="123"/>
      <c r="D1320" s="123"/>
      <c r="E1320" s="123"/>
      <c r="F1320" s="123"/>
      <c r="G1320" s="127" t="s">
        <v>292</v>
      </c>
      <c r="H1320" s="128">
        <v>2008</v>
      </c>
      <c r="I1320" s="128" t="s">
        <v>85</v>
      </c>
      <c r="J1320" s="128">
        <f t="shared" si="40"/>
        <v>8</v>
      </c>
      <c r="K1320" s="128" t="s">
        <v>2645</v>
      </c>
      <c r="L1320" s="128" t="s">
        <v>30</v>
      </c>
      <c r="M1320" s="129" t="s">
        <v>1003</v>
      </c>
      <c r="N1320" s="129" t="s">
        <v>28</v>
      </c>
      <c r="O1320" s="129"/>
      <c r="P1320" s="129" t="str">
        <f t="shared" si="41"/>
        <v/>
      </c>
      <c r="Q1320" s="128" t="s">
        <v>1004</v>
      </c>
      <c r="R1320" s="128">
        <v>1.94</v>
      </c>
      <c r="S1320" s="130"/>
      <c r="T1320" s="130" t="s">
        <v>2646</v>
      </c>
      <c r="U1320" s="131"/>
    </row>
    <row r="1321" spans="1:21" ht="15.75" thickBot="1">
      <c r="A1321" s="123">
        <v>1308</v>
      </c>
      <c r="B1321" s="123"/>
      <c r="C1321" s="123"/>
      <c r="D1321" s="123"/>
      <c r="E1321" s="123"/>
      <c r="F1321" s="123"/>
      <c r="G1321" s="127" t="s">
        <v>292</v>
      </c>
      <c r="H1321" s="128">
        <v>2008</v>
      </c>
      <c r="I1321" s="128" t="s">
        <v>85</v>
      </c>
      <c r="J1321" s="128">
        <f t="shared" si="40"/>
        <v>8</v>
      </c>
      <c r="K1321" s="128" t="s">
        <v>2647</v>
      </c>
      <c r="L1321" s="128" t="s">
        <v>30</v>
      </c>
      <c r="M1321" s="129" t="s">
        <v>34</v>
      </c>
      <c r="N1321" s="129" t="s">
        <v>28</v>
      </c>
      <c r="O1321" s="129"/>
      <c r="P1321" s="129" t="str">
        <f t="shared" si="41"/>
        <v/>
      </c>
      <c r="Q1321" s="128" t="s">
        <v>2648</v>
      </c>
      <c r="R1321" s="128">
        <v>10.24</v>
      </c>
      <c r="S1321" s="130"/>
      <c r="T1321" s="130"/>
      <c r="U1321" s="131"/>
    </row>
    <row r="1322" spans="1:21" ht="15.75" thickBot="1">
      <c r="A1322" s="123">
        <v>1308</v>
      </c>
      <c r="B1322" s="123"/>
      <c r="C1322" s="123"/>
      <c r="D1322" s="123"/>
      <c r="E1322" s="123"/>
      <c r="F1322" s="123"/>
      <c r="G1322" s="127" t="s">
        <v>292</v>
      </c>
      <c r="H1322" s="128">
        <v>2008</v>
      </c>
      <c r="I1322" s="128" t="s">
        <v>85</v>
      </c>
      <c r="J1322" s="128">
        <f t="shared" si="40"/>
        <v>8</v>
      </c>
      <c r="K1322" s="128" t="s">
        <v>2649</v>
      </c>
      <c r="L1322" s="128" t="s">
        <v>30</v>
      </c>
      <c r="M1322" s="129" t="s">
        <v>34</v>
      </c>
      <c r="N1322" s="129" t="s">
        <v>28</v>
      </c>
      <c r="O1322" s="129"/>
      <c r="P1322" s="129" t="str">
        <f t="shared" si="41"/>
        <v/>
      </c>
      <c r="Q1322" s="130"/>
      <c r="R1322" s="128">
        <v>12.54</v>
      </c>
      <c r="S1322" s="130"/>
      <c r="T1322" s="130" t="s">
        <v>1069</v>
      </c>
      <c r="U1322" s="131"/>
    </row>
    <row r="1323" spans="1:21" ht="15.75" thickBot="1">
      <c r="A1323" s="123">
        <v>1308</v>
      </c>
      <c r="B1323" s="123"/>
      <c r="C1323" s="123"/>
      <c r="D1323" s="123"/>
      <c r="E1323" s="123"/>
      <c r="F1323" s="123"/>
      <c r="G1323" s="127" t="s">
        <v>292</v>
      </c>
      <c r="H1323" s="128">
        <v>2008</v>
      </c>
      <c r="I1323" s="128" t="s">
        <v>85</v>
      </c>
      <c r="J1323" s="128">
        <f t="shared" si="40"/>
        <v>8</v>
      </c>
      <c r="K1323" s="128" t="s">
        <v>2650</v>
      </c>
      <c r="L1323" s="128" t="s">
        <v>30</v>
      </c>
      <c r="M1323" s="129" t="s">
        <v>31</v>
      </c>
      <c r="N1323" s="129" t="s">
        <v>28</v>
      </c>
      <c r="O1323" s="129"/>
      <c r="P1323" s="129" t="str">
        <f t="shared" si="41"/>
        <v/>
      </c>
      <c r="Q1323" s="128" t="s">
        <v>2651</v>
      </c>
      <c r="R1323" s="128">
        <v>20.77</v>
      </c>
      <c r="S1323" s="128">
        <v>48.12</v>
      </c>
      <c r="T1323" s="130"/>
      <c r="U1323" s="131"/>
    </row>
    <row r="1324" spans="1:21" ht="15.75" thickBot="1">
      <c r="A1324" s="123">
        <v>1308</v>
      </c>
      <c r="B1324" s="123"/>
      <c r="C1324" s="123"/>
      <c r="D1324" s="123"/>
      <c r="E1324" s="123"/>
      <c r="F1324" s="123"/>
      <c r="G1324" s="127" t="s">
        <v>292</v>
      </c>
      <c r="H1324" s="128">
        <v>2008</v>
      </c>
      <c r="I1324" s="128" t="s">
        <v>85</v>
      </c>
      <c r="J1324" s="128">
        <f t="shared" si="40"/>
        <v>8</v>
      </c>
      <c r="K1324" s="128" t="s">
        <v>305</v>
      </c>
      <c r="L1324" s="128" t="s">
        <v>40</v>
      </c>
      <c r="M1324" s="129" t="s">
        <v>31</v>
      </c>
      <c r="N1324" s="129" t="s">
        <v>32</v>
      </c>
      <c r="O1324" s="129"/>
      <c r="P1324" s="129" t="str">
        <f t="shared" si="41"/>
        <v/>
      </c>
      <c r="Q1324" s="130"/>
      <c r="R1324" s="128">
        <v>23.29</v>
      </c>
      <c r="S1324" s="128">
        <v>51.88</v>
      </c>
      <c r="T1324" s="130" t="s">
        <v>998</v>
      </c>
      <c r="U1324" s="131"/>
    </row>
    <row r="1325" spans="1:21" ht="15.75" thickBot="1">
      <c r="A1325" s="123">
        <v>1308</v>
      </c>
      <c r="B1325" s="123"/>
      <c r="C1325" s="123"/>
      <c r="D1325" s="123"/>
      <c r="E1325" s="123"/>
      <c r="F1325" s="123"/>
      <c r="G1325" s="127" t="s">
        <v>292</v>
      </c>
      <c r="H1325" s="128">
        <v>2008</v>
      </c>
      <c r="I1325" s="128" t="s">
        <v>85</v>
      </c>
      <c r="J1325" s="128">
        <f t="shared" si="40"/>
        <v>8</v>
      </c>
      <c r="K1325" s="128" t="s">
        <v>2652</v>
      </c>
      <c r="L1325" s="128" t="s">
        <v>40</v>
      </c>
      <c r="M1325" s="129" t="s">
        <v>1065</v>
      </c>
      <c r="N1325" s="129" t="s">
        <v>28</v>
      </c>
      <c r="O1325" s="129"/>
      <c r="P1325" s="129" t="str">
        <f t="shared" si="41"/>
        <v/>
      </c>
      <c r="Q1325" s="138" t="s">
        <v>2653</v>
      </c>
      <c r="R1325" s="128">
        <v>10.1</v>
      </c>
      <c r="S1325" s="130"/>
      <c r="T1325" s="130"/>
      <c r="U1325" s="131"/>
    </row>
    <row r="1326" spans="1:21" ht="15.75" thickBot="1">
      <c r="A1326" s="123">
        <v>1308</v>
      </c>
      <c r="B1326" s="123"/>
      <c r="C1326" s="123"/>
      <c r="D1326" s="123"/>
      <c r="E1326" s="123"/>
      <c r="F1326" s="123"/>
      <c r="G1326" s="127" t="s">
        <v>292</v>
      </c>
      <c r="H1326" s="128">
        <v>2008</v>
      </c>
      <c r="I1326" s="128" t="s">
        <v>85</v>
      </c>
      <c r="J1326" s="128">
        <f t="shared" si="40"/>
        <v>8</v>
      </c>
      <c r="K1326" s="128" t="s">
        <v>2654</v>
      </c>
      <c r="L1326" s="128" t="s">
        <v>30</v>
      </c>
      <c r="M1326" s="129" t="s">
        <v>34</v>
      </c>
      <c r="N1326" s="129" t="s">
        <v>28</v>
      </c>
      <c r="O1326" s="129"/>
      <c r="P1326" s="129" t="str">
        <f t="shared" si="41"/>
        <v/>
      </c>
      <c r="Q1326" s="130"/>
      <c r="R1326" s="128">
        <v>7.05</v>
      </c>
      <c r="S1326" s="130"/>
      <c r="T1326" s="130" t="s">
        <v>31</v>
      </c>
      <c r="U1326" s="131"/>
    </row>
    <row r="1327" spans="1:21" ht="15.75" thickBot="1">
      <c r="A1327" s="123">
        <v>1309</v>
      </c>
      <c r="B1327" s="123"/>
      <c r="C1327" s="123"/>
      <c r="D1327" s="123"/>
      <c r="E1327" s="123"/>
      <c r="F1327" s="123"/>
      <c r="G1327" s="127" t="s">
        <v>292</v>
      </c>
      <c r="H1327" s="128">
        <v>2008</v>
      </c>
      <c r="I1327" s="128" t="s">
        <v>306</v>
      </c>
      <c r="J1327" s="128">
        <f t="shared" si="40"/>
        <v>2</v>
      </c>
      <c r="K1327" s="128" t="s">
        <v>2655</v>
      </c>
      <c r="L1327" s="128" t="s">
        <v>30</v>
      </c>
      <c r="M1327" s="129" t="s">
        <v>34</v>
      </c>
      <c r="N1327" s="129" t="s">
        <v>28</v>
      </c>
      <c r="O1327" s="129"/>
      <c r="P1327" s="129" t="str">
        <f t="shared" si="41"/>
        <v/>
      </c>
      <c r="Q1327" s="128" t="s">
        <v>2656</v>
      </c>
      <c r="R1327" s="128">
        <v>10.62</v>
      </c>
      <c r="S1327" s="130"/>
      <c r="T1327" s="130" t="s">
        <v>998</v>
      </c>
      <c r="U1327" s="131"/>
    </row>
    <row r="1328" spans="1:21" ht="15.75" hidden="1" thickBot="1">
      <c r="A1328" s="123">
        <v>1309</v>
      </c>
      <c r="B1328" s="123"/>
      <c r="C1328" s="123"/>
      <c r="D1328" s="123"/>
      <c r="E1328" s="123"/>
      <c r="F1328" s="123"/>
      <c r="G1328" s="127" t="s">
        <v>292</v>
      </c>
      <c r="H1328" s="128">
        <v>2008</v>
      </c>
      <c r="I1328" s="128" t="s">
        <v>306</v>
      </c>
      <c r="J1328" s="128">
        <f t="shared" si="40"/>
        <v>2</v>
      </c>
      <c r="K1328" s="128" t="s">
        <v>312</v>
      </c>
      <c r="L1328" s="128" t="s">
        <v>40</v>
      </c>
      <c r="M1328" s="129" t="s">
        <v>31</v>
      </c>
      <c r="N1328" s="129" t="s">
        <v>32</v>
      </c>
      <c r="O1328" s="129" t="s">
        <v>32</v>
      </c>
      <c r="P1328" s="129" t="str">
        <f t="shared" si="41"/>
        <v>Y</v>
      </c>
      <c r="Q1328" s="128" t="s">
        <v>2657</v>
      </c>
      <c r="R1328" s="128">
        <v>89.38</v>
      </c>
      <c r="S1328" s="130"/>
      <c r="T1328" s="130"/>
      <c r="U1328" s="131"/>
    </row>
    <row r="1329" spans="1:21" ht="15.75" thickBot="1">
      <c r="A1329" s="123">
        <v>1299</v>
      </c>
      <c r="B1329" s="123"/>
      <c r="C1329" s="123"/>
      <c r="D1329" s="123"/>
      <c r="E1329" s="123"/>
      <c r="F1329" s="123"/>
      <c r="G1329" s="127" t="s">
        <v>292</v>
      </c>
      <c r="H1329" s="128">
        <v>2010</v>
      </c>
      <c r="I1329" s="128" t="s">
        <v>38</v>
      </c>
      <c r="J1329" s="128">
        <f t="shared" si="40"/>
        <v>4</v>
      </c>
      <c r="K1329" s="128" t="s">
        <v>2658</v>
      </c>
      <c r="L1329" s="128" t="s">
        <v>40</v>
      </c>
      <c r="M1329" s="129" t="s">
        <v>31</v>
      </c>
      <c r="N1329" s="129" t="s">
        <v>28</v>
      </c>
      <c r="O1329" s="129"/>
      <c r="P1329" s="129" t="str">
        <f t="shared" si="41"/>
        <v/>
      </c>
      <c r="Q1329" s="128" t="s">
        <v>2659</v>
      </c>
      <c r="R1329" s="128">
        <v>7.94</v>
      </c>
      <c r="S1329" s="130"/>
      <c r="T1329" s="130"/>
      <c r="U1329" s="131"/>
    </row>
    <row r="1330" spans="1:21" ht="15.75" thickBot="1">
      <c r="A1330" s="123">
        <v>1299</v>
      </c>
      <c r="B1330" s="123"/>
      <c r="C1330" s="123"/>
      <c r="D1330" s="123"/>
      <c r="E1330" s="123"/>
      <c r="F1330" s="123"/>
      <c r="G1330" s="127" t="s">
        <v>292</v>
      </c>
      <c r="H1330" s="128">
        <v>2010</v>
      </c>
      <c r="I1330" s="128" t="s">
        <v>38</v>
      </c>
      <c r="J1330" s="128">
        <f t="shared" si="40"/>
        <v>4</v>
      </c>
      <c r="K1330" s="128" t="s">
        <v>2660</v>
      </c>
      <c r="L1330" s="128" t="s">
        <v>30</v>
      </c>
      <c r="M1330" s="129" t="s">
        <v>34</v>
      </c>
      <c r="N1330" s="129" t="s">
        <v>28</v>
      </c>
      <c r="O1330" s="129"/>
      <c r="P1330" s="129" t="str">
        <f t="shared" si="41"/>
        <v/>
      </c>
      <c r="Q1330" s="128" t="s">
        <v>2661</v>
      </c>
      <c r="R1330" s="128">
        <v>9.94</v>
      </c>
      <c r="S1330" s="130"/>
      <c r="T1330" s="130"/>
      <c r="U1330" s="131"/>
    </row>
    <row r="1331" spans="1:21" ht="15.75" hidden="1" thickBot="1">
      <c r="A1331" s="123">
        <v>1299</v>
      </c>
      <c r="B1331" s="123"/>
      <c r="C1331" s="123"/>
      <c r="D1331" s="123"/>
      <c r="E1331" s="123"/>
      <c r="F1331" s="123"/>
      <c r="G1331" s="127" t="s">
        <v>292</v>
      </c>
      <c r="H1331" s="128">
        <v>2010</v>
      </c>
      <c r="I1331" s="128" t="s">
        <v>38</v>
      </c>
      <c r="J1331" s="128">
        <f t="shared" si="40"/>
        <v>4</v>
      </c>
      <c r="K1331" s="128" t="s">
        <v>2491</v>
      </c>
      <c r="L1331" s="128" t="s">
        <v>30</v>
      </c>
      <c r="M1331" s="129" t="s">
        <v>174</v>
      </c>
      <c r="N1331" s="129" t="s">
        <v>28</v>
      </c>
      <c r="O1331" s="129" t="s">
        <v>28</v>
      </c>
      <c r="P1331" s="129" t="str">
        <f t="shared" si="41"/>
        <v>N/A</v>
      </c>
      <c r="Q1331" s="130"/>
      <c r="R1331" s="128">
        <v>5.26</v>
      </c>
      <c r="S1331" s="130"/>
      <c r="T1331" s="130" t="s">
        <v>998</v>
      </c>
      <c r="U1331" s="131" t="s">
        <v>2492</v>
      </c>
    </row>
    <row r="1332" spans="1:21" ht="15.75" hidden="1" thickBot="1">
      <c r="A1332" s="123">
        <v>1299</v>
      </c>
      <c r="B1332" s="123"/>
      <c r="C1332" s="123"/>
      <c r="D1332" s="123"/>
      <c r="E1332" s="123"/>
      <c r="F1332" s="123"/>
      <c r="G1332" s="127" t="s">
        <v>292</v>
      </c>
      <c r="H1332" s="128">
        <v>2010</v>
      </c>
      <c r="I1332" s="128" t="s">
        <v>38</v>
      </c>
      <c r="J1332" s="128">
        <f t="shared" si="40"/>
        <v>4</v>
      </c>
      <c r="K1332" s="128" t="s">
        <v>308</v>
      </c>
      <c r="L1332" s="128" t="s">
        <v>30</v>
      </c>
      <c r="M1332" s="129" t="s">
        <v>31</v>
      </c>
      <c r="N1332" s="129" t="s">
        <v>32</v>
      </c>
      <c r="O1332" s="129" t="s">
        <v>32</v>
      </c>
      <c r="P1332" s="129" t="str">
        <f t="shared" si="41"/>
        <v>Y</v>
      </c>
      <c r="Q1332" s="128" t="s">
        <v>2662</v>
      </c>
      <c r="R1332" s="128">
        <v>76.849999999999994</v>
      </c>
      <c r="S1332" s="130"/>
      <c r="T1332" s="130" t="s">
        <v>31</v>
      </c>
      <c r="U1332" s="131"/>
    </row>
    <row r="1333" spans="1:21" ht="15.75" thickBot="1">
      <c r="A1333" s="123">
        <v>1300</v>
      </c>
      <c r="B1333" s="123"/>
      <c r="C1333" s="123"/>
      <c r="D1333" s="123"/>
      <c r="E1333" s="123"/>
      <c r="F1333" s="123"/>
      <c r="G1333" s="127" t="s">
        <v>292</v>
      </c>
      <c r="H1333" s="128">
        <v>2010</v>
      </c>
      <c r="I1333" s="128" t="s">
        <v>76</v>
      </c>
      <c r="J1333" s="128">
        <f t="shared" si="40"/>
        <v>3</v>
      </c>
      <c r="K1333" s="128" t="s">
        <v>2663</v>
      </c>
      <c r="L1333" s="128" t="s">
        <v>30</v>
      </c>
      <c r="M1333" s="129" t="s">
        <v>31</v>
      </c>
      <c r="N1333" s="129" t="s">
        <v>28</v>
      </c>
      <c r="O1333" s="129"/>
      <c r="P1333" s="129" t="str">
        <f t="shared" si="41"/>
        <v/>
      </c>
      <c r="Q1333" s="128" t="s">
        <v>2664</v>
      </c>
      <c r="R1333" s="128">
        <v>20.3</v>
      </c>
      <c r="S1333" s="130"/>
      <c r="T1333" s="130" t="s">
        <v>1069</v>
      </c>
      <c r="U1333" s="131"/>
    </row>
    <row r="1334" spans="1:21" ht="15.75" thickBot="1">
      <c r="A1334" s="123">
        <v>1300</v>
      </c>
      <c r="B1334" s="123"/>
      <c r="C1334" s="123"/>
      <c r="D1334" s="123"/>
      <c r="E1334" s="123"/>
      <c r="F1334" s="123"/>
      <c r="G1334" s="127" t="s">
        <v>292</v>
      </c>
      <c r="H1334" s="128">
        <v>2010</v>
      </c>
      <c r="I1334" s="128" t="s">
        <v>76</v>
      </c>
      <c r="J1334" s="128">
        <f t="shared" si="40"/>
        <v>3</v>
      </c>
      <c r="K1334" s="128" t="s">
        <v>2665</v>
      </c>
      <c r="L1334" s="128" t="s">
        <v>30</v>
      </c>
      <c r="M1334" s="129" t="s">
        <v>31</v>
      </c>
      <c r="N1334" s="129" t="s">
        <v>28</v>
      </c>
      <c r="O1334" s="129"/>
      <c r="P1334" s="129" t="str">
        <f t="shared" si="41"/>
        <v/>
      </c>
      <c r="Q1334" s="128" t="s">
        <v>2666</v>
      </c>
      <c r="R1334" s="128">
        <v>13.39</v>
      </c>
      <c r="S1334" s="130"/>
      <c r="T1334" s="130" t="s">
        <v>31</v>
      </c>
      <c r="U1334" s="131"/>
    </row>
    <row r="1335" spans="1:21" ht="15.75" hidden="1" thickBot="1">
      <c r="A1335" s="123">
        <v>1300</v>
      </c>
      <c r="B1335" s="123"/>
      <c r="C1335" s="123"/>
      <c r="D1335" s="123"/>
      <c r="E1335" s="123"/>
      <c r="F1335" s="123"/>
      <c r="G1335" s="127" t="s">
        <v>292</v>
      </c>
      <c r="H1335" s="128">
        <v>2010</v>
      </c>
      <c r="I1335" s="128" t="s">
        <v>76</v>
      </c>
      <c r="J1335" s="128">
        <f t="shared" si="40"/>
        <v>3</v>
      </c>
      <c r="K1335" s="128" t="s">
        <v>309</v>
      </c>
      <c r="L1335" s="128" t="s">
        <v>30</v>
      </c>
      <c r="M1335" s="129" t="s">
        <v>31</v>
      </c>
      <c r="N1335" s="129" t="s">
        <v>32</v>
      </c>
      <c r="O1335" s="129" t="s">
        <v>32</v>
      </c>
      <c r="P1335" s="129" t="str">
        <f t="shared" si="41"/>
        <v>Y</v>
      </c>
      <c r="Q1335" s="128" t="s">
        <v>2667</v>
      </c>
      <c r="R1335" s="128">
        <v>66.31</v>
      </c>
      <c r="S1335" s="130"/>
      <c r="T1335" s="130" t="s">
        <v>31</v>
      </c>
      <c r="U1335" s="131"/>
    </row>
    <row r="1336" spans="1:21" ht="15.75" thickBot="1">
      <c r="A1336" s="45">
        <v>1301</v>
      </c>
      <c r="B1336" s="123"/>
      <c r="C1336" s="123"/>
      <c r="D1336" s="123"/>
      <c r="E1336" s="123"/>
      <c r="F1336" s="123"/>
      <c r="G1336" s="127" t="s">
        <v>292</v>
      </c>
      <c r="H1336" s="128">
        <v>2010</v>
      </c>
      <c r="I1336" s="128" t="s">
        <v>94</v>
      </c>
      <c r="J1336" s="128">
        <f t="shared" si="40"/>
        <v>2</v>
      </c>
      <c r="K1336" s="128" t="s">
        <v>2668</v>
      </c>
      <c r="L1336" s="128" t="s">
        <v>30</v>
      </c>
      <c r="M1336" s="129" t="s">
        <v>31</v>
      </c>
      <c r="N1336" s="129" t="s">
        <v>28</v>
      </c>
      <c r="O1336" s="129"/>
      <c r="P1336" s="129" t="str">
        <f t="shared" si="41"/>
        <v/>
      </c>
      <c r="Q1336" s="128" t="s">
        <v>2669</v>
      </c>
      <c r="R1336" s="128">
        <v>19.84</v>
      </c>
      <c r="S1336" s="130"/>
      <c r="T1336" s="130" t="s">
        <v>31</v>
      </c>
      <c r="U1336" s="131"/>
    </row>
    <row r="1337" spans="1:21" ht="15.75" hidden="1" thickBot="1">
      <c r="A1337" s="45">
        <v>1301</v>
      </c>
      <c r="B1337" s="123"/>
      <c r="C1337" s="123"/>
      <c r="D1337" s="123"/>
      <c r="E1337" s="123"/>
      <c r="F1337" s="123"/>
      <c r="G1337" s="127" t="s">
        <v>292</v>
      </c>
      <c r="H1337" s="128">
        <v>2010</v>
      </c>
      <c r="I1337" s="128" t="s">
        <v>94</v>
      </c>
      <c r="J1337" s="128">
        <f t="shared" si="40"/>
        <v>2</v>
      </c>
      <c r="K1337" s="128" t="s">
        <v>293</v>
      </c>
      <c r="L1337" s="128" t="s">
        <v>30</v>
      </c>
      <c r="M1337" s="129" t="s">
        <v>31</v>
      </c>
      <c r="N1337" s="129" t="s">
        <v>32</v>
      </c>
      <c r="O1337" s="129" t="s">
        <v>32</v>
      </c>
      <c r="P1337" s="129" t="str">
        <f t="shared" si="41"/>
        <v>Y</v>
      </c>
      <c r="Q1337" s="130"/>
      <c r="R1337" s="128">
        <v>80.16</v>
      </c>
      <c r="S1337" s="130"/>
      <c r="T1337" s="130"/>
      <c r="U1337" s="131"/>
    </row>
    <row r="1338" spans="1:21" ht="15.75" thickBot="1">
      <c r="A1338" s="123">
        <v>1302</v>
      </c>
      <c r="B1338" s="123"/>
      <c r="C1338" s="123"/>
      <c r="D1338" s="123"/>
      <c r="E1338" s="123"/>
      <c r="F1338" s="123"/>
      <c r="G1338" s="127" t="s">
        <v>292</v>
      </c>
      <c r="H1338" s="128">
        <v>2010</v>
      </c>
      <c r="I1338" s="128" t="s">
        <v>97</v>
      </c>
      <c r="J1338" s="128">
        <f t="shared" si="40"/>
        <v>4</v>
      </c>
      <c r="K1338" s="128" t="s">
        <v>2533</v>
      </c>
      <c r="L1338" s="128" t="s">
        <v>30</v>
      </c>
      <c r="M1338" s="129" t="s">
        <v>1065</v>
      </c>
      <c r="N1338" s="129" t="s">
        <v>28</v>
      </c>
      <c r="O1338" s="129"/>
      <c r="P1338" s="129" t="str">
        <f t="shared" si="41"/>
        <v/>
      </c>
      <c r="Q1338" s="128" t="s">
        <v>2670</v>
      </c>
      <c r="R1338" s="128">
        <v>22.82</v>
      </c>
      <c r="S1338" s="130"/>
      <c r="T1338" s="130"/>
      <c r="U1338" s="131"/>
    </row>
    <row r="1339" spans="1:21" ht="15.75" thickBot="1">
      <c r="A1339" s="123">
        <v>1302</v>
      </c>
      <c r="B1339" s="123"/>
      <c r="C1339" s="123"/>
      <c r="D1339" s="123"/>
      <c r="E1339" s="123"/>
      <c r="F1339" s="123"/>
      <c r="G1339" s="127" t="s">
        <v>292</v>
      </c>
      <c r="H1339" s="128">
        <v>2010</v>
      </c>
      <c r="I1339" s="128" t="s">
        <v>97</v>
      </c>
      <c r="J1339" s="128">
        <f t="shared" si="40"/>
        <v>4</v>
      </c>
      <c r="K1339" s="128" t="s">
        <v>298</v>
      </c>
      <c r="L1339" s="128" t="s">
        <v>40</v>
      </c>
      <c r="M1339" s="129" t="s">
        <v>1065</v>
      </c>
      <c r="N1339" s="129" t="s">
        <v>28</v>
      </c>
      <c r="O1339" s="129"/>
      <c r="P1339" s="129" t="str">
        <f t="shared" si="41"/>
        <v/>
      </c>
      <c r="Q1339" s="130"/>
      <c r="R1339" s="128">
        <v>35.18</v>
      </c>
      <c r="S1339" s="128">
        <v>48.16</v>
      </c>
      <c r="T1339" s="130" t="s">
        <v>31</v>
      </c>
      <c r="U1339" s="131"/>
    </row>
    <row r="1340" spans="1:21" ht="15.75" thickBot="1">
      <c r="A1340" s="123">
        <v>1302</v>
      </c>
      <c r="B1340" s="123"/>
      <c r="C1340" s="123"/>
      <c r="D1340" s="123"/>
      <c r="E1340" s="123"/>
      <c r="F1340" s="123"/>
      <c r="G1340" s="127" t="s">
        <v>292</v>
      </c>
      <c r="H1340" s="128">
        <v>2010</v>
      </c>
      <c r="I1340" s="128" t="s">
        <v>97</v>
      </c>
      <c r="J1340" s="128">
        <f t="shared" si="40"/>
        <v>4</v>
      </c>
      <c r="K1340" s="128" t="s">
        <v>310</v>
      </c>
      <c r="L1340" s="128" t="s">
        <v>30</v>
      </c>
      <c r="M1340" s="129" t="s">
        <v>1065</v>
      </c>
      <c r="N1340" s="129" t="s">
        <v>32</v>
      </c>
      <c r="O1340" s="129"/>
      <c r="P1340" s="129" t="str">
        <f t="shared" si="41"/>
        <v/>
      </c>
      <c r="Q1340" s="130"/>
      <c r="R1340" s="128">
        <v>35.44</v>
      </c>
      <c r="S1340" s="128">
        <v>51.84</v>
      </c>
      <c r="T1340" s="130" t="s">
        <v>31</v>
      </c>
      <c r="U1340" s="131"/>
    </row>
    <row r="1341" spans="1:21" ht="15.75" hidden="1" thickBot="1">
      <c r="A1341" s="123">
        <v>1302</v>
      </c>
      <c r="B1341" s="123"/>
      <c r="C1341" s="123"/>
      <c r="D1341" s="123"/>
      <c r="E1341" s="123"/>
      <c r="F1341" s="123"/>
      <c r="G1341" s="127" t="s">
        <v>292</v>
      </c>
      <c r="H1341" s="128">
        <v>2010</v>
      </c>
      <c r="I1341" s="128" t="s">
        <v>97</v>
      </c>
      <c r="J1341" s="128">
        <f t="shared" si="40"/>
        <v>4</v>
      </c>
      <c r="K1341" s="128" t="s">
        <v>2671</v>
      </c>
      <c r="L1341" s="128" t="s">
        <v>30</v>
      </c>
      <c r="M1341" s="129" t="s">
        <v>1065</v>
      </c>
      <c r="N1341" s="129" t="s">
        <v>28</v>
      </c>
      <c r="O1341" s="129" t="s">
        <v>28</v>
      </c>
      <c r="P1341" s="129" t="str">
        <f t="shared" si="41"/>
        <v>N/A</v>
      </c>
      <c r="Q1341" s="130"/>
      <c r="R1341" s="128">
        <v>6.56</v>
      </c>
      <c r="S1341" s="130"/>
      <c r="T1341" s="130" t="s">
        <v>31</v>
      </c>
      <c r="U1341" s="131"/>
    </row>
    <row r="1342" spans="1:21" ht="15.75" thickBot="1">
      <c r="A1342" s="123">
        <v>1303</v>
      </c>
      <c r="B1342" s="123"/>
      <c r="C1342" s="123"/>
      <c r="D1342" s="123"/>
      <c r="E1342" s="123"/>
      <c r="F1342" s="123"/>
      <c r="G1342" s="127" t="s">
        <v>292</v>
      </c>
      <c r="H1342" s="128">
        <v>2010</v>
      </c>
      <c r="I1342" s="128" t="s">
        <v>82</v>
      </c>
      <c r="J1342" s="128">
        <f t="shared" si="40"/>
        <v>5</v>
      </c>
      <c r="K1342" s="128" t="s">
        <v>2649</v>
      </c>
      <c r="L1342" s="128" t="s">
        <v>30</v>
      </c>
      <c r="M1342" s="129" t="s">
        <v>34</v>
      </c>
      <c r="N1342" s="129" t="s">
        <v>28</v>
      </c>
      <c r="O1342" s="129"/>
      <c r="P1342" s="129" t="str">
        <f t="shared" si="41"/>
        <v/>
      </c>
      <c r="Q1342" s="128" t="s">
        <v>2672</v>
      </c>
      <c r="R1342" s="128">
        <v>24.07</v>
      </c>
      <c r="S1342" s="128">
        <v>45.67</v>
      </c>
      <c r="T1342" s="130"/>
      <c r="U1342" s="131"/>
    </row>
    <row r="1343" spans="1:21" ht="15.75" thickBot="1">
      <c r="A1343" s="123">
        <v>1303</v>
      </c>
      <c r="B1343" s="123"/>
      <c r="C1343" s="123"/>
      <c r="D1343" s="123"/>
      <c r="E1343" s="123"/>
      <c r="F1343" s="123"/>
      <c r="G1343" s="127" t="s">
        <v>292</v>
      </c>
      <c r="H1343" s="128">
        <v>2010</v>
      </c>
      <c r="I1343" s="128" t="s">
        <v>82</v>
      </c>
      <c r="J1343" s="128">
        <f t="shared" si="40"/>
        <v>5</v>
      </c>
      <c r="K1343" s="128" t="s">
        <v>2673</v>
      </c>
      <c r="L1343" s="128" t="s">
        <v>30</v>
      </c>
      <c r="M1343" s="129" t="s">
        <v>34</v>
      </c>
      <c r="N1343" s="129" t="s">
        <v>28</v>
      </c>
      <c r="O1343" s="129"/>
      <c r="P1343" s="129" t="str">
        <f t="shared" si="41"/>
        <v/>
      </c>
      <c r="Q1343" s="128" t="s">
        <v>2674</v>
      </c>
      <c r="R1343" s="128">
        <v>17.11</v>
      </c>
      <c r="S1343" s="130"/>
      <c r="T1343" s="130" t="s">
        <v>1069</v>
      </c>
      <c r="U1343" s="131"/>
    </row>
    <row r="1344" spans="1:21" ht="15.75" thickBot="1">
      <c r="A1344" s="123">
        <v>1303</v>
      </c>
      <c r="B1344" s="123"/>
      <c r="C1344" s="123"/>
      <c r="D1344" s="123"/>
      <c r="E1344" s="123"/>
      <c r="F1344" s="123"/>
      <c r="G1344" s="127" t="s">
        <v>292</v>
      </c>
      <c r="H1344" s="128">
        <v>2010</v>
      </c>
      <c r="I1344" s="128" t="s">
        <v>82</v>
      </c>
      <c r="J1344" s="128">
        <f t="shared" si="40"/>
        <v>5</v>
      </c>
      <c r="K1344" s="128" t="s">
        <v>2579</v>
      </c>
      <c r="L1344" s="128" t="s">
        <v>30</v>
      </c>
      <c r="M1344" s="129" t="s">
        <v>1003</v>
      </c>
      <c r="N1344" s="129" t="s">
        <v>28</v>
      </c>
      <c r="O1344" s="129"/>
      <c r="P1344" s="129" t="str">
        <f t="shared" si="41"/>
        <v/>
      </c>
      <c r="Q1344" s="128" t="s">
        <v>2675</v>
      </c>
      <c r="R1344" s="128">
        <v>14.32</v>
      </c>
      <c r="S1344" s="130"/>
      <c r="T1344" s="130"/>
      <c r="U1344" s="131"/>
    </row>
    <row r="1345" spans="1:21" ht="15.75" thickBot="1">
      <c r="A1345" s="123">
        <v>1303</v>
      </c>
      <c r="B1345" s="123"/>
      <c r="C1345" s="123"/>
      <c r="D1345" s="123"/>
      <c r="E1345" s="123"/>
      <c r="F1345" s="123"/>
      <c r="G1345" s="127" t="s">
        <v>292</v>
      </c>
      <c r="H1345" s="128">
        <v>2010</v>
      </c>
      <c r="I1345" s="128" t="s">
        <v>82</v>
      </c>
      <c r="J1345" s="128">
        <f t="shared" si="40"/>
        <v>5</v>
      </c>
      <c r="K1345" s="128" t="s">
        <v>2676</v>
      </c>
      <c r="L1345" s="128" t="s">
        <v>30</v>
      </c>
      <c r="M1345" s="129" t="s">
        <v>1003</v>
      </c>
      <c r="N1345" s="129" t="s">
        <v>28</v>
      </c>
      <c r="O1345" s="129"/>
      <c r="P1345" s="129" t="str">
        <f t="shared" si="41"/>
        <v/>
      </c>
      <c r="Q1345" s="128" t="s">
        <v>2675</v>
      </c>
      <c r="R1345" s="128">
        <v>3.17</v>
      </c>
      <c r="S1345" s="130"/>
      <c r="T1345" s="130"/>
      <c r="U1345" s="131"/>
    </row>
    <row r="1346" spans="1:21" ht="15.75" hidden="1" thickBot="1">
      <c r="A1346" s="123">
        <v>1303</v>
      </c>
      <c r="B1346" s="123"/>
      <c r="C1346" s="123"/>
      <c r="D1346" s="123"/>
      <c r="E1346" s="123"/>
      <c r="F1346" s="123"/>
      <c r="G1346" s="127" t="s">
        <v>292</v>
      </c>
      <c r="H1346" s="128">
        <v>2010</v>
      </c>
      <c r="I1346" s="128" t="s">
        <v>82</v>
      </c>
      <c r="J1346" s="128">
        <f t="shared" ref="J1346:J1409" si="42">COUNTIF(A$2:A$2215, A1346)</f>
        <v>5</v>
      </c>
      <c r="K1346" s="128" t="s">
        <v>311</v>
      </c>
      <c r="L1346" s="128" t="s">
        <v>40</v>
      </c>
      <c r="M1346" s="129" t="s">
        <v>34</v>
      </c>
      <c r="N1346" s="129" t="s">
        <v>32</v>
      </c>
      <c r="O1346" s="129" t="s">
        <v>32</v>
      </c>
      <c r="P1346" s="129" t="str">
        <f t="shared" si="41"/>
        <v>Y</v>
      </c>
      <c r="Q1346" s="130"/>
      <c r="R1346" s="128">
        <v>41.33</v>
      </c>
      <c r="S1346" s="128">
        <v>54.33</v>
      </c>
      <c r="T1346" s="130"/>
      <c r="U1346" s="131"/>
    </row>
    <row r="1347" spans="1:21" ht="15.75" thickBot="1">
      <c r="A1347" s="123">
        <v>1304</v>
      </c>
      <c r="B1347" s="123"/>
      <c r="C1347" s="123"/>
      <c r="D1347" s="123"/>
      <c r="E1347" s="123"/>
      <c r="F1347" s="123"/>
      <c r="G1347" s="127" t="s">
        <v>292</v>
      </c>
      <c r="H1347" s="128">
        <v>2010</v>
      </c>
      <c r="I1347" s="128" t="s">
        <v>300</v>
      </c>
      <c r="J1347" s="128">
        <f t="shared" si="42"/>
        <v>6</v>
      </c>
      <c r="K1347" s="128" t="s">
        <v>2677</v>
      </c>
      <c r="L1347" s="128" t="s">
        <v>30</v>
      </c>
      <c r="M1347" s="129" t="s">
        <v>31</v>
      </c>
      <c r="N1347" s="129" t="s">
        <v>28</v>
      </c>
      <c r="O1347" s="129"/>
      <c r="P1347" s="129" t="str">
        <f t="shared" ref="P1347:P1410" si="43">IF(O1347="N", "N/A", IF(AND(N1347="N",  O1347="Y"), "N", IF(AND(O1347="Y", N1347="Y"), "Y", "")))</f>
        <v/>
      </c>
      <c r="Q1347" s="128" t="s">
        <v>2678</v>
      </c>
      <c r="R1347" s="128">
        <v>6.49</v>
      </c>
      <c r="S1347" s="130"/>
      <c r="T1347" s="130"/>
      <c r="U1347" s="131"/>
    </row>
    <row r="1348" spans="1:21" ht="15.75" thickBot="1">
      <c r="A1348" s="123">
        <v>1304</v>
      </c>
      <c r="B1348" s="123"/>
      <c r="C1348" s="123"/>
      <c r="D1348" s="123"/>
      <c r="E1348" s="123"/>
      <c r="F1348" s="123"/>
      <c r="G1348" s="127" t="s">
        <v>292</v>
      </c>
      <c r="H1348" s="128">
        <v>2010</v>
      </c>
      <c r="I1348" s="128" t="s">
        <v>300</v>
      </c>
      <c r="J1348" s="128">
        <f t="shared" si="42"/>
        <v>6</v>
      </c>
      <c r="K1348" s="128" t="s">
        <v>2616</v>
      </c>
      <c r="L1348" s="128" t="s">
        <v>30</v>
      </c>
      <c r="M1348" s="129" t="s">
        <v>1065</v>
      </c>
      <c r="N1348" s="129" t="s">
        <v>28</v>
      </c>
      <c r="O1348" s="129"/>
      <c r="P1348" s="129" t="str">
        <f t="shared" si="43"/>
        <v/>
      </c>
      <c r="Q1348" s="128" t="s">
        <v>2679</v>
      </c>
      <c r="R1348" s="128">
        <v>5.35</v>
      </c>
      <c r="S1348" s="130"/>
      <c r="T1348" s="130" t="s">
        <v>31</v>
      </c>
      <c r="U1348" s="131"/>
    </row>
    <row r="1349" spans="1:21" ht="26.25" thickBot="1">
      <c r="A1349" s="123">
        <v>1304</v>
      </c>
      <c r="B1349" s="123"/>
      <c r="C1349" s="123"/>
      <c r="D1349" s="123"/>
      <c r="E1349" s="123"/>
      <c r="F1349" s="123"/>
      <c r="G1349" s="127" t="s">
        <v>292</v>
      </c>
      <c r="H1349" s="128">
        <v>2010</v>
      </c>
      <c r="I1349" s="128" t="s">
        <v>300</v>
      </c>
      <c r="J1349" s="128">
        <f t="shared" si="42"/>
        <v>6</v>
      </c>
      <c r="K1349" s="128" t="s">
        <v>301</v>
      </c>
      <c r="L1349" s="128" t="s">
        <v>30</v>
      </c>
      <c r="M1349" s="129" t="s">
        <v>1065</v>
      </c>
      <c r="N1349" s="129" t="s">
        <v>32</v>
      </c>
      <c r="O1349" s="129"/>
      <c r="P1349" s="129" t="str">
        <f t="shared" si="43"/>
        <v/>
      </c>
      <c r="Q1349" s="130"/>
      <c r="R1349" s="128">
        <v>43.01</v>
      </c>
      <c r="S1349" s="128">
        <v>62.98</v>
      </c>
      <c r="T1349" s="130" t="s">
        <v>2680</v>
      </c>
      <c r="U1349" s="131"/>
    </row>
    <row r="1350" spans="1:21" ht="15.75" thickBot="1">
      <c r="A1350" s="123">
        <v>1304</v>
      </c>
      <c r="B1350" s="123"/>
      <c r="C1350" s="123"/>
      <c r="D1350" s="123"/>
      <c r="E1350" s="123"/>
      <c r="F1350" s="123"/>
      <c r="G1350" s="127" t="s">
        <v>292</v>
      </c>
      <c r="H1350" s="128">
        <v>2010</v>
      </c>
      <c r="I1350" s="128" t="s">
        <v>300</v>
      </c>
      <c r="J1350" s="128">
        <f t="shared" si="42"/>
        <v>6</v>
      </c>
      <c r="K1350" s="128" t="s">
        <v>2681</v>
      </c>
      <c r="L1350" s="128" t="s">
        <v>30</v>
      </c>
      <c r="M1350" s="129" t="s">
        <v>31</v>
      </c>
      <c r="N1350" s="129" t="s">
        <v>28</v>
      </c>
      <c r="O1350" s="129"/>
      <c r="P1350" s="129" t="str">
        <f t="shared" si="43"/>
        <v/>
      </c>
      <c r="Q1350" s="128" t="s">
        <v>2682</v>
      </c>
      <c r="R1350" s="128">
        <v>13.21</v>
      </c>
      <c r="S1350" s="130"/>
      <c r="T1350" s="130"/>
      <c r="U1350" s="131"/>
    </row>
    <row r="1351" spans="1:21" ht="15.75" thickBot="1">
      <c r="A1351" s="123">
        <v>1304</v>
      </c>
      <c r="B1351" s="123"/>
      <c r="C1351" s="123"/>
      <c r="D1351" s="123"/>
      <c r="E1351" s="123"/>
      <c r="F1351" s="123"/>
      <c r="G1351" s="127" t="s">
        <v>292</v>
      </c>
      <c r="H1351" s="128">
        <v>2010</v>
      </c>
      <c r="I1351" s="128" t="s">
        <v>300</v>
      </c>
      <c r="J1351" s="128">
        <f t="shared" si="42"/>
        <v>6</v>
      </c>
      <c r="K1351" s="128" t="s">
        <v>2683</v>
      </c>
      <c r="L1351" s="128" t="s">
        <v>30</v>
      </c>
      <c r="M1351" s="129" t="s">
        <v>31</v>
      </c>
      <c r="N1351" s="129" t="s">
        <v>28</v>
      </c>
      <c r="O1351" s="129"/>
      <c r="P1351" s="129" t="str">
        <f t="shared" si="43"/>
        <v/>
      </c>
      <c r="Q1351" s="128" t="s">
        <v>2684</v>
      </c>
      <c r="R1351" s="128">
        <v>24.65</v>
      </c>
      <c r="S1351" s="128">
        <v>37.020000000000003</v>
      </c>
      <c r="T1351" s="130" t="s">
        <v>1015</v>
      </c>
      <c r="U1351" s="131"/>
    </row>
    <row r="1352" spans="1:21" ht="15.75" thickBot="1">
      <c r="A1352" s="123">
        <v>1304</v>
      </c>
      <c r="B1352" s="123"/>
      <c r="C1352" s="123"/>
      <c r="D1352" s="123"/>
      <c r="E1352" s="123"/>
      <c r="F1352" s="123"/>
      <c r="G1352" s="127" t="s">
        <v>292</v>
      </c>
      <c r="H1352" s="128">
        <v>2010</v>
      </c>
      <c r="I1352" s="128" t="s">
        <v>300</v>
      </c>
      <c r="J1352" s="128">
        <f t="shared" si="42"/>
        <v>6</v>
      </c>
      <c r="K1352" s="128" t="s">
        <v>2685</v>
      </c>
      <c r="L1352" s="128" t="s">
        <v>30</v>
      </c>
      <c r="M1352" s="129" t="s">
        <v>31</v>
      </c>
      <c r="N1352" s="129" t="s">
        <v>28</v>
      </c>
      <c r="O1352" s="129"/>
      <c r="P1352" s="129" t="str">
        <f t="shared" si="43"/>
        <v/>
      </c>
      <c r="Q1352" s="128" t="s">
        <v>2686</v>
      </c>
      <c r="R1352" s="128">
        <v>7.28</v>
      </c>
      <c r="S1352" s="130"/>
      <c r="T1352" s="130"/>
      <c r="U1352" s="131"/>
    </row>
    <row r="1353" spans="1:21" ht="15.75" thickBot="1">
      <c r="A1353" s="123">
        <v>1294</v>
      </c>
      <c r="B1353" s="123"/>
      <c r="C1353" s="123"/>
      <c r="D1353" s="123"/>
      <c r="E1353" s="123"/>
      <c r="F1353" s="123"/>
      <c r="G1353" s="127" t="s">
        <v>292</v>
      </c>
      <c r="H1353" s="128">
        <v>2012</v>
      </c>
      <c r="I1353" s="128" t="s">
        <v>91</v>
      </c>
      <c r="J1353" s="128">
        <f t="shared" si="42"/>
        <v>2</v>
      </c>
      <c r="K1353" s="128" t="s">
        <v>2687</v>
      </c>
      <c r="L1353" s="128" t="s">
        <v>30</v>
      </c>
      <c r="M1353" s="129" t="s">
        <v>31</v>
      </c>
      <c r="N1353" s="129" t="s">
        <v>28</v>
      </c>
      <c r="O1353" s="129"/>
      <c r="P1353" s="129" t="str">
        <f t="shared" si="43"/>
        <v/>
      </c>
      <c r="Q1353" s="128" t="s">
        <v>2688</v>
      </c>
      <c r="R1353" s="128">
        <v>46.97</v>
      </c>
      <c r="S1353" s="130"/>
      <c r="T1353" s="130"/>
      <c r="U1353" s="131"/>
    </row>
    <row r="1354" spans="1:21" ht="15.75" hidden="1" thickBot="1">
      <c r="A1354" s="123">
        <v>1294</v>
      </c>
      <c r="B1354" s="123"/>
      <c r="C1354" s="123"/>
      <c r="D1354" s="123"/>
      <c r="E1354" s="123"/>
      <c r="F1354" s="123"/>
      <c r="G1354" s="127" t="s">
        <v>292</v>
      </c>
      <c r="H1354" s="128">
        <v>2012</v>
      </c>
      <c r="I1354" s="128" t="s">
        <v>91</v>
      </c>
      <c r="J1354" s="128">
        <f t="shared" si="42"/>
        <v>2</v>
      </c>
      <c r="K1354" s="128" t="s">
        <v>302</v>
      </c>
      <c r="L1354" s="128" t="s">
        <v>30</v>
      </c>
      <c r="M1354" s="129" t="s">
        <v>34</v>
      </c>
      <c r="N1354" s="129" t="s">
        <v>32</v>
      </c>
      <c r="O1354" s="129" t="s">
        <v>32</v>
      </c>
      <c r="P1354" s="129" t="str">
        <f t="shared" si="43"/>
        <v>Y</v>
      </c>
      <c r="Q1354" s="128" t="s">
        <v>2689</v>
      </c>
      <c r="R1354" s="128">
        <v>53.03</v>
      </c>
      <c r="S1354" s="130"/>
      <c r="T1354" s="130" t="s">
        <v>31</v>
      </c>
      <c r="U1354" s="131"/>
    </row>
    <row r="1355" spans="1:21" ht="26.25" thickBot="1">
      <c r="A1355" s="123">
        <v>1295</v>
      </c>
      <c r="B1355" s="123"/>
      <c r="C1355" s="123"/>
      <c r="D1355" s="123"/>
      <c r="E1355" s="123"/>
      <c r="F1355" s="123"/>
      <c r="G1355" s="127" t="s">
        <v>292</v>
      </c>
      <c r="H1355" s="128">
        <v>2012</v>
      </c>
      <c r="I1355" s="128" t="s">
        <v>79</v>
      </c>
      <c r="J1355" s="128">
        <f t="shared" si="42"/>
        <v>3</v>
      </c>
      <c r="K1355" s="128" t="s">
        <v>2690</v>
      </c>
      <c r="L1355" s="128" t="s">
        <v>30</v>
      </c>
      <c r="M1355" s="129" t="s">
        <v>31</v>
      </c>
      <c r="N1355" s="129" t="s">
        <v>28</v>
      </c>
      <c r="O1355" s="129"/>
      <c r="P1355" s="129" t="str">
        <f t="shared" si="43"/>
        <v/>
      </c>
      <c r="Q1355" s="128" t="s">
        <v>2691</v>
      </c>
      <c r="R1355" s="128">
        <v>7.29</v>
      </c>
      <c r="S1355" s="130"/>
      <c r="T1355" s="130" t="s">
        <v>1051</v>
      </c>
      <c r="U1355" s="131"/>
    </row>
    <row r="1356" spans="1:21" ht="15.75" thickBot="1">
      <c r="A1356" s="123">
        <v>1295</v>
      </c>
      <c r="B1356" s="123"/>
      <c r="C1356" s="123"/>
      <c r="D1356" s="123"/>
      <c r="E1356" s="123"/>
      <c r="F1356" s="123"/>
      <c r="G1356" s="127" t="s">
        <v>292</v>
      </c>
      <c r="H1356" s="128">
        <v>2012</v>
      </c>
      <c r="I1356" s="128" t="s">
        <v>79</v>
      </c>
      <c r="J1356" s="128">
        <f t="shared" si="42"/>
        <v>3</v>
      </c>
      <c r="K1356" s="128" t="s">
        <v>2692</v>
      </c>
      <c r="L1356" s="128" t="s">
        <v>30</v>
      </c>
      <c r="M1356" s="129" t="s">
        <v>34</v>
      </c>
      <c r="N1356" s="129" t="s">
        <v>28</v>
      </c>
      <c r="O1356" s="129"/>
      <c r="P1356" s="129" t="str">
        <f t="shared" si="43"/>
        <v/>
      </c>
      <c r="Q1356" s="128" t="s">
        <v>2693</v>
      </c>
      <c r="R1356" s="128">
        <v>38.229999999999997</v>
      </c>
      <c r="S1356" s="130"/>
      <c r="T1356" s="130" t="s">
        <v>1069</v>
      </c>
      <c r="U1356" s="131"/>
    </row>
    <row r="1357" spans="1:21" ht="15.75" hidden="1" thickBot="1">
      <c r="A1357" s="123">
        <v>1295</v>
      </c>
      <c r="B1357" s="123"/>
      <c r="C1357" s="123"/>
      <c r="D1357" s="123"/>
      <c r="E1357" s="123"/>
      <c r="F1357" s="123"/>
      <c r="G1357" s="127" t="s">
        <v>292</v>
      </c>
      <c r="H1357" s="128">
        <v>2012</v>
      </c>
      <c r="I1357" s="128" t="s">
        <v>79</v>
      </c>
      <c r="J1357" s="128">
        <f t="shared" si="42"/>
        <v>3</v>
      </c>
      <c r="K1357" s="128" t="s">
        <v>303</v>
      </c>
      <c r="L1357" s="128" t="s">
        <v>30</v>
      </c>
      <c r="M1357" s="129" t="s">
        <v>34</v>
      </c>
      <c r="N1357" s="129" t="s">
        <v>32</v>
      </c>
      <c r="O1357" s="129" t="s">
        <v>32</v>
      </c>
      <c r="P1357" s="129" t="str">
        <f t="shared" si="43"/>
        <v>Y</v>
      </c>
      <c r="Q1357" s="128" t="s">
        <v>2694</v>
      </c>
      <c r="R1357" s="128">
        <v>54.48</v>
      </c>
      <c r="S1357" s="130"/>
      <c r="T1357" s="130"/>
      <c r="U1357" s="131"/>
    </row>
    <row r="1358" spans="1:21" ht="15.75" thickBot="1">
      <c r="A1358" s="123">
        <v>1296</v>
      </c>
      <c r="B1358" s="123"/>
      <c r="C1358" s="123"/>
      <c r="D1358" s="123"/>
      <c r="E1358" s="123"/>
      <c r="F1358" s="123"/>
      <c r="G1358" s="127" t="s">
        <v>292</v>
      </c>
      <c r="H1358" s="128">
        <v>2012</v>
      </c>
      <c r="I1358" s="128" t="s">
        <v>100</v>
      </c>
      <c r="J1358" s="128">
        <f t="shared" si="42"/>
        <v>3</v>
      </c>
      <c r="K1358" s="128" t="s">
        <v>2695</v>
      </c>
      <c r="L1358" s="128" t="s">
        <v>30</v>
      </c>
      <c r="M1358" s="129" t="s">
        <v>31</v>
      </c>
      <c r="N1358" s="129" t="s">
        <v>28</v>
      </c>
      <c r="O1358" s="129"/>
      <c r="P1358" s="129" t="str">
        <f t="shared" si="43"/>
        <v/>
      </c>
      <c r="Q1358" s="128" t="s">
        <v>2696</v>
      </c>
      <c r="R1358" s="128">
        <v>25.08</v>
      </c>
      <c r="S1358" s="130"/>
      <c r="T1358" s="130" t="s">
        <v>31</v>
      </c>
      <c r="U1358" s="131"/>
    </row>
    <row r="1359" spans="1:21" ht="15.75" hidden="1" thickBot="1">
      <c r="A1359" s="123">
        <v>1296</v>
      </c>
      <c r="B1359" s="123"/>
      <c r="C1359" s="123"/>
      <c r="D1359" s="123"/>
      <c r="E1359" s="123"/>
      <c r="F1359" s="123"/>
      <c r="G1359" s="127" t="s">
        <v>292</v>
      </c>
      <c r="H1359" s="128">
        <v>2012</v>
      </c>
      <c r="I1359" s="128" t="s">
        <v>100</v>
      </c>
      <c r="J1359" s="128">
        <f t="shared" si="42"/>
        <v>3</v>
      </c>
      <c r="K1359" s="128" t="s">
        <v>2491</v>
      </c>
      <c r="L1359" s="128" t="s">
        <v>30</v>
      </c>
      <c r="M1359" s="129" t="s">
        <v>174</v>
      </c>
      <c r="N1359" s="129" t="s">
        <v>28</v>
      </c>
      <c r="O1359" s="129" t="s">
        <v>28</v>
      </c>
      <c r="P1359" s="129" t="str">
        <f t="shared" si="43"/>
        <v>N/A</v>
      </c>
      <c r="Q1359" s="130"/>
      <c r="R1359" s="128">
        <v>7.14</v>
      </c>
      <c r="S1359" s="130"/>
      <c r="T1359" s="130" t="s">
        <v>1069</v>
      </c>
      <c r="U1359" s="131" t="s">
        <v>2492</v>
      </c>
    </row>
    <row r="1360" spans="1:21" ht="26.25" hidden="1" thickBot="1">
      <c r="A1360" s="123">
        <v>1296</v>
      </c>
      <c r="B1360" s="123"/>
      <c r="C1360" s="123"/>
      <c r="D1360" s="123"/>
      <c r="E1360" s="123"/>
      <c r="F1360" s="123"/>
      <c r="G1360" s="127" t="s">
        <v>292</v>
      </c>
      <c r="H1360" s="128">
        <v>2012</v>
      </c>
      <c r="I1360" s="128" t="s">
        <v>100</v>
      </c>
      <c r="J1360" s="128">
        <f t="shared" si="42"/>
        <v>3</v>
      </c>
      <c r="K1360" s="128" t="s">
        <v>304</v>
      </c>
      <c r="L1360" s="128" t="s">
        <v>30</v>
      </c>
      <c r="M1360" s="129" t="s">
        <v>1003</v>
      </c>
      <c r="N1360" s="129" t="s">
        <v>32</v>
      </c>
      <c r="O1360" s="129" t="s">
        <v>32</v>
      </c>
      <c r="P1360" s="129" t="str">
        <f t="shared" si="43"/>
        <v>Y</v>
      </c>
      <c r="Q1360" s="130"/>
      <c r="R1360" s="128">
        <v>67.78</v>
      </c>
      <c r="S1360" s="130"/>
      <c r="T1360" s="130" t="s">
        <v>1051</v>
      </c>
      <c r="U1360" s="131"/>
    </row>
    <row r="1361" spans="1:21" ht="15.75" thickBot="1">
      <c r="A1361" s="123">
        <v>1297</v>
      </c>
      <c r="B1361" s="123"/>
      <c r="C1361" s="123"/>
      <c r="D1361" s="123"/>
      <c r="E1361" s="123"/>
      <c r="F1361" s="123"/>
      <c r="G1361" s="127" t="s">
        <v>292</v>
      </c>
      <c r="H1361" s="128">
        <v>2012</v>
      </c>
      <c r="I1361" s="128" t="s">
        <v>85</v>
      </c>
      <c r="J1361" s="128">
        <f t="shared" si="42"/>
        <v>3</v>
      </c>
      <c r="K1361" s="128" t="s">
        <v>2697</v>
      </c>
      <c r="L1361" s="128" t="s">
        <v>30</v>
      </c>
      <c r="M1361" s="129" t="s">
        <v>34</v>
      </c>
      <c r="N1361" s="129" t="s">
        <v>28</v>
      </c>
      <c r="O1361" s="129"/>
      <c r="P1361" s="129" t="str">
        <f t="shared" si="43"/>
        <v/>
      </c>
      <c r="Q1361" s="128" t="s">
        <v>2698</v>
      </c>
      <c r="R1361" s="128">
        <v>28.27</v>
      </c>
      <c r="S1361" s="128">
        <v>45.7</v>
      </c>
      <c r="T1361" s="130" t="s">
        <v>31</v>
      </c>
      <c r="U1361" s="131"/>
    </row>
    <row r="1362" spans="1:21" ht="15.75" thickBot="1">
      <c r="A1362" s="123">
        <v>1297</v>
      </c>
      <c r="B1362" s="123"/>
      <c r="C1362" s="123"/>
      <c r="D1362" s="123"/>
      <c r="E1362" s="123"/>
      <c r="F1362" s="123"/>
      <c r="G1362" s="127" t="s">
        <v>292</v>
      </c>
      <c r="H1362" s="128">
        <v>2012</v>
      </c>
      <c r="I1362" s="128" t="s">
        <v>85</v>
      </c>
      <c r="J1362" s="128">
        <f t="shared" si="42"/>
        <v>3</v>
      </c>
      <c r="K1362" s="128" t="s">
        <v>2465</v>
      </c>
      <c r="L1362" s="128" t="s">
        <v>40</v>
      </c>
      <c r="M1362" s="129" t="s">
        <v>1065</v>
      </c>
      <c r="N1362" s="129" t="s">
        <v>28</v>
      </c>
      <c r="O1362" s="129"/>
      <c r="P1362" s="129" t="str">
        <f t="shared" si="43"/>
        <v/>
      </c>
      <c r="Q1362" s="138" t="s">
        <v>2699</v>
      </c>
      <c r="R1362" s="128">
        <v>23.86</v>
      </c>
      <c r="S1362" s="130"/>
      <c r="T1362" s="130" t="s">
        <v>31</v>
      </c>
      <c r="U1362" s="131"/>
    </row>
    <row r="1363" spans="1:21" ht="15.75" hidden="1" thickBot="1">
      <c r="A1363" s="123">
        <v>1297</v>
      </c>
      <c r="B1363" s="123"/>
      <c r="C1363" s="123"/>
      <c r="D1363" s="123"/>
      <c r="E1363" s="123"/>
      <c r="F1363" s="123"/>
      <c r="G1363" s="127" t="s">
        <v>292</v>
      </c>
      <c r="H1363" s="128">
        <v>2012</v>
      </c>
      <c r="I1363" s="128" t="s">
        <v>85</v>
      </c>
      <c r="J1363" s="128">
        <f t="shared" si="42"/>
        <v>3</v>
      </c>
      <c r="K1363" s="128" t="s">
        <v>305</v>
      </c>
      <c r="L1363" s="128" t="s">
        <v>40</v>
      </c>
      <c r="M1363" s="129" t="s">
        <v>31</v>
      </c>
      <c r="N1363" s="129" t="s">
        <v>32</v>
      </c>
      <c r="O1363" s="129" t="s">
        <v>32</v>
      </c>
      <c r="P1363" s="129" t="str">
        <f t="shared" si="43"/>
        <v>Y</v>
      </c>
      <c r="Q1363" s="130"/>
      <c r="R1363" s="128">
        <v>47.87</v>
      </c>
      <c r="S1363" s="128">
        <v>54.3</v>
      </c>
      <c r="T1363" s="130" t="s">
        <v>31</v>
      </c>
      <c r="U1363" s="131"/>
    </row>
    <row r="1364" spans="1:21" ht="15.75" thickBot="1">
      <c r="A1364" s="123">
        <v>1298</v>
      </c>
      <c r="B1364" s="123"/>
      <c r="C1364" s="123"/>
      <c r="D1364" s="123"/>
      <c r="E1364" s="123"/>
      <c r="F1364" s="123"/>
      <c r="G1364" s="127" t="s">
        <v>292</v>
      </c>
      <c r="H1364" s="128">
        <v>2012</v>
      </c>
      <c r="I1364" s="128" t="s">
        <v>306</v>
      </c>
      <c r="J1364" s="128">
        <f t="shared" si="42"/>
        <v>6</v>
      </c>
      <c r="K1364" s="128" t="s">
        <v>2700</v>
      </c>
      <c r="L1364" s="128" t="s">
        <v>30</v>
      </c>
      <c r="M1364" s="129" t="s">
        <v>31</v>
      </c>
      <c r="N1364" s="129" t="s">
        <v>28</v>
      </c>
      <c r="O1364" s="129"/>
      <c r="P1364" s="129" t="str">
        <f t="shared" si="43"/>
        <v/>
      </c>
      <c r="Q1364" s="128" t="s">
        <v>2701</v>
      </c>
      <c r="R1364" s="128">
        <v>12.18</v>
      </c>
      <c r="S1364" s="130"/>
      <c r="T1364" s="130" t="s">
        <v>31</v>
      </c>
      <c r="U1364" s="131"/>
    </row>
    <row r="1365" spans="1:21" ht="15.75" thickBot="1">
      <c r="A1365" s="123">
        <v>1298</v>
      </c>
      <c r="B1365" s="123"/>
      <c r="C1365" s="123"/>
      <c r="D1365" s="123"/>
      <c r="E1365" s="123"/>
      <c r="F1365" s="123"/>
      <c r="G1365" s="127" t="s">
        <v>292</v>
      </c>
      <c r="H1365" s="128">
        <v>2012</v>
      </c>
      <c r="I1365" s="128" t="s">
        <v>306</v>
      </c>
      <c r="J1365" s="128">
        <f t="shared" si="42"/>
        <v>6</v>
      </c>
      <c r="K1365" s="128" t="s">
        <v>2702</v>
      </c>
      <c r="L1365" s="128" t="s">
        <v>40</v>
      </c>
      <c r="M1365" s="129" t="s">
        <v>31</v>
      </c>
      <c r="N1365" s="129" t="s">
        <v>28</v>
      </c>
      <c r="O1365" s="129"/>
      <c r="P1365" s="129" t="str">
        <f t="shared" si="43"/>
        <v/>
      </c>
      <c r="Q1365" s="128" t="s">
        <v>2703</v>
      </c>
      <c r="R1365" s="128">
        <v>11.26</v>
      </c>
      <c r="S1365" s="130"/>
      <c r="T1365" s="130"/>
      <c r="U1365" s="131"/>
    </row>
    <row r="1366" spans="1:21" ht="26.25" thickBot="1">
      <c r="A1366" s="123">
        <v>1298</v>
      </c>
      <c r="B1366" s="123"/>
      <c r="C1366" s="123"/>
      <c r="D1366" s="123"/>
      <c r="E1366" s="123"/>
      <c r="F1366" s="123"/>
      <c r="G1366" s="127" t="s">
        <v>292</v>
      </c>
      <c r="H1366" s="128">
        <v>2012</v>
      </c>
      <c r="I1366" s="128" t="s">
        <v>306</v>
      </c>
      <c r="J1366" s="128">
        <f t="shared" si="42"/>
        <v>6</v>
      </c>
      <c r="K1366" s="128" t="s">
        <v>2704</v>
      </c>
      <c r="L1366" s="128" t="s">
        <v>40</v>
      </c>
      <c r="M1366" s="129" t="s">
        <v>1013</v>
      </c>
      <c r="N1366" s="129" t="s">
        <v>28</v>
      </c>
      <c r="O1366" s="129"/>
      <c r="P1366" s="129" t="str">
        <f t="shared" si="43"/>
        <v/>
      </c>
      <c r="Q1366" s="128" t="s">
        <v>2705</v>
      </c>
      <c r="R1366" s="128">
        <v>19.190000000000001</v>
      </c>
      <c r="S1366" s="130"/>
      <c r="T1366" s="130" t="s">
        <v>1051</v>
      </c>
      <c r="U1366" s="131"/>
    </row>
    <row r="1367" spans="1:21" ht="26.25" thickBot="1">
      <c r="A1367" s="123">
        <v>1298</v>
      </c>
      <c r="B1367" s="123"/>
      <c r="C1367" s="123"/>
      <c r="D1367" s="123"/>
      <c r="E1367" s="123"/>
      <c r="F1367" s="123"/>
      <c r="G1367" s="127" t="s">
        <v>292</v>
      </c>
      <c r="H1367" s="128">
        <v>2012</v>
      </c>
      <c r="I1367" s="128" t="s">
        <v>306</v>
      </c>
      <c r="J1367" s="128">
        <f t="shared" si="42"/>
        <v>6</v>
      </c>
      <c r="K1367" s="128" t="s">
        <v>307</v>
      </c>
      <c r="L1367" s="128" t="s">
        <v>30</v>
      </c>
      <c r="M1367" s="129" t="s">
        <v>1013</v>
      </c>
      <c r="N1367" s="129" t="s">
        <v>32</v>
      </c>
      <c r="O1367" s="129"/>
      <c r="P1367" s="129" t="str">
        <f t="shared" si="43"/>
        <v/>
      </c>
      <c r="Q1367" s="128" t="s">
        <v>2706</v>
      </c>
      <c r="R1367" s="128">
        <v>19.71</v>
      </c>
      <c r="S1367" s="128">
        <v>52.57</v>
      </c>
      <c r="T1367" s="130" t="s">
        <v>1051</v>
      </c>
      <c r="U1367" s="131"/>
    </row>
    <row r="1368" spans="1:21" ht="15.75" thickBot="1">
      <c r="A1368" s="123">
        <v>1298</v>
      </c>
      <c r="B1368" s="123"/>
      <c r="C1368" s="123"/>
      <c r="D1368" s="123"/>
      <c r="E1368" s="123"/>
      <c r="F1368" s="123"/>
      <c r="G1368" s="127" t="s">
        <v>292</v>
      </c>
      <c r="H1368" s="128">
        <v>2012</v>
      </c>
      <c r="I1368" s="128" t="s">
        <v>306</v>
      </c>
      <c r="J1368" s="128">
        <f t="shared" si="42"/>
        <v>6</v>
      </c>
      <c r="K1368" s="128" t="s">
        <v>2707</v>
      </c>
      <c r="L1368" s="128" t="s">
        <v>40</v>
      </c>
      <c r="M1368" s="129" t="s">
        <v>31</v>
      </c>
      <c r="N1368" s="129" t="s">
        <v>28</v>
      </c>
      <c r="O1368" s="129"/>
      <c r="P1368" s="129" t="str">
        <f t="shared" si="43"/>
        <v/>
      </c>
      <c r="Q1368" s="128" t="s">
        <v>2708</v>
      </c>
      <c r="R1368" s="128">
        <v>17.96</v>
      </c>
      <c r="S1368" s="130"/>
      <c r="T1368" s="130" t="s">
        <v>1015</v>
      </c>
      <c r="U1368" s="131"/>
    </row>
    <row r="1369" spans="1:21" ht="15.75" thickBot="1">
      <c r="A1369" s="123">
        <v>1298</v>
      </c>
      <c r="B1369" s="123"/>
      <c r="C1369" s="123"/>
      <c r="D1369" s="123"/>
      <c r="E1369" s="123"/>
      <c r="F1369" s="123"/>
      <c r="G1369" s="127" t="s">
        <v>292</v>
      </c>
      <c r="H1369" s="128">
        <v>2012</v>
      </c>
      <c r="I1369" s="128" t="s">
        <v>306</v>
      </c>
      <c r="J1369" s="128">
        <f t="shared" si="42"/>
        <v>6</v>
      </c>
      <c r="K1369" s="128" t="s">
        <v>2709</v>
      </c>
      <c r="L1369" s="128" t="s">
        <v>30</v>
      </c>
      <c r="M1369" s="129" t="s">
        <v>31</v>
      </c>
      <c r="N1369" s="129" t="s">
        <v>28</v>
      </c>
      <c r="O1369" s="129"/>
      <c r="P1369" s="129" t="str">
        <f t="shared" si="43"/>
        <v/>
      </c>
      <c r="Q1369" s="128" t="s">
        <v>2710</v>
      </c>
      <c r="R1369" s="128">
        <v>19.7</v>
      </c>
      <c r="S1369" s="128">
        <v>47.43</v>
      </c>
      <c r="T1369" s="130" t="s">
        <v>31</v>
      </c>
      <c r="U1369" s="131"/>
    </row>
    <row r="1370" spans="1:21" ht="15.75" thickBot="1">
      <c r="A1370" s="123">
        <v>1288</v>
      </c>
      <c r="B1370" s="123"/>
      <c r="C1370" s="123"/>
      <c r="D1370" s="123"/>
      <c r="E1370" s="123"/>
      <c r="F1370" s="123"/>
      <c r="G1370" s="127" t="s">
        <v>292</v>
      </c>
      <c r="H1370" s="128">
        <v>2014</v>
      </c>
      <c r="I1370" s="128" t="s">
        <v>38</v>
      </c>
      <c r="J1370" s="128">
        <f t="shared" si="42"/>
        <v>8</v>
      </c>
      <c r="K1370" s="128" t="s">
        <v>2584</v>
      </c>
      <c r="L1370" s="128" t="s">
        <v>30</v>
      </c>
      <c r="M1370" s="129" t="s">
        <v>31</v>
      </c>
      <c r="N1370" s="129" t="s">
        <v>28</v>
      </c>
      <c r="O1370" s="129"/>
      <c r="P1370" s="129" t="str">
        <f t="shared" si="43"/>
        <v/>
      </c>
      <c r="Q1370" s="128" t="s">
        <v>2711</v>
      </c>
      <c r="R1370" s="128">
        <v>33.72</v>
      </c>
      <c r="S1370" s="128">
        <v>49.24</v>
      </c>
      <c r="T1370" s="130" t="s">
        <v>1015</v>
      </c>
      <c r="U1370" s="131"/>
    </row>
    <row r="1371" spans="1:21" ht="15.75" thickBot="1">
      <c r="A1371" s="123">
        <v>1288</v>
      </c>
      <c r="B1371" s="123"/>
      <c r="C1371" s="123"/>
      <c r="D1371" s="123"/>
      <c r="E1371" s="123"/>
      <c r="F1371" s="123"/>
      <c r="G1371" s="127" t="s">
        <v>292</v>
      </c>
      <c r="H1371" s="128">
        <v>2014</v>
      </c>
      <c r="I1371" s="128" t="s">
        <v>38</v>
      </c>
      <c r="J1371" s="128">
        <f t="shared" si="42"/>
        <v>8</v>
      </c>
      <c r="K1371" s="128" t="s">
        <v>2712</v>
      </c>
      <c r="L1371" s="128" t="s">
        <v>30</v>
      </c>
      <c r="M1371" s="129" t="s">
        <v>31</v>
      </c>
      <c r="N1371" s="129" t="s">
        <v>28</v>
      </c>
      <c r="O1371" s="129"/>
      <c r="P1371" s="129" t="str">
        <f t="shared" si="43"/>
        <v/>
      </c>
      <c r="Q1371" s="128" t="s">
        <v>2713</v>
      </c>
      <c r="R1371" s="128">
        <v>1.51</v>
      </c>
      <c r="S1371" s="130"/>
      <c r="T1371" s="130" t="s">
        <v>1015</v>
      </c>
      <c r="U1371" s="131"/>
    </row>
    <row r="1372" spans="1:21" ht="15.75" thickBot="1">
      <c r="A1372" s="123">
        <v>1288</v>
      </c>
      <c r="B1372" s="123"/>
      <c r="C1372" s="123"/>
      <c r="D1372" s="123"/>
      <c r="E1372" s="123"/>
      <c r="F1372" s="123"/>
      <c r="G1372" s="127" t="s">
        <v>292</v>
      </c>
      <c r="H1372" s="128">
        <v>2014</v>
      </c>
      <c r="I1372" s="128" t="s">
        <v>38</v>
      </c>
      <c r="J1372" s="128">
        <f t="shared" si="42"/>
        <v>8</v>
      </c>
      <c r="K1372" s="128" t="s">
        <v>305</v>
      </c>
      <c r="L1372" s="128" t="s">
        <v>40</v>
      </c>
      <c r="M1372" s="129" t="s">
        <v>31</v>
      </c>
      <c r="N1372" s="129" t="s">
        <v>28</v>
      </c>
      <c r="O1372" s="129"/>
      <c r="P1372" s="129" t="str">
        <f t="shared" si="43"/>
        <v/>
      </c>
      <c r="Q1372" s="128" t="s">
        <v>2714</v>
      </c>
      <c r="R1372" s="128">
        <v>6.11</v>
      </c>
      <c r="S1372" s="130"/>
      <c r="T1372" s="130" t="s">
        <v>998</v>
      </c>
      <c r="U1372" s="131"/>
    </row>
    <row r="1373" spans="1:21" ht="26.25" thickBot="1">
      <c r="A1373" s="123">
        <v>1288</v>
      </c>
      <c r="B1373" s="123"/>
      <c r="C1373" s="123"/>
      <c r="D1373" s="123"/>
      <c r="E1373" s="123"/>
      <c r="F1373" s="123"/>
      <c r="G1373" s="127" t="s">
        <v>292</v>
      </c>
      <c r="H1373" s="128">
        <v>2014</v>
      </c>
      <c r="I1373" s="128" t="s">
        <v>38</v>
      </c>
      <c r="J1373" s="128">
        <f t="shared" si="42"/>
        <v>8</v>
      </c>
      <c r="K1373" s="128" t="s">
        <v>2715</v>
      </c>
      <c r="L1373" s="128" t="s">
        <v>30</v>
      </c>
      <c r="M1373" s="129" t="s">
        <v>201</v>
      </c>
      <c r="N1373" s="129" t="s">
        <v>28</v>
      </c>
      <c r="O1373" s="129"/>
      <c r="P1373" s="129" t="str">
        <f t="shared" si="43"/>
        <v/>
      </c>
      <c r="Q1373" s="128" t="s">
        <v>2716</v>
      </c>
      <c r="R1373" s="128">
        <v>1.32</v>
      </c>
      <c r="S1373" s="130"/>
      <c r="T1373" s="130" t="s">
        <v>2717</v>
      </c>
      <c r="U1373" s="131"/>
    </row>
    <row r="1374" spans="1:21" ht="15.75" hidden="1" thickBot="1">
      <c r="A1374" s="123">
        <v>1288</v>
      </c>
      <c r="B1374" s="123"/>
      <c r="C1374" s="123"/>
      <c r="D1374" s="123"/>
      <c r="E1374" s="123"/>
      <c r="F1374" s="123"/>
      <c r="G1374" s="127" t="s">
        <v>292</v>
      </c>
      <c r="H1374" s="128">
        <v>2014</v>
      </c>
      <c r="I1374" s="128" t="s">
        <v>38</v>
      </c>
      <c r="J1374" s="128">
        <f t="shared" si="42"/>
        <v>8</v>
      </c>
      <c r="K1374" s="128" t="s">
        <v>2491</v>
      </c>
      <c r="L1374" s="128" t="s">
        <v>30</v>
      </c>
      <c r="M1374" s="129" t="s">
        <v>174</v>
      </c>
      <c r="N1374" s="129" t="s">
        <v>28</v>
      </c>
      <c r="O1374" s="129" t="s">
        <v>28</v>
      </c>
      <c r="P1374" s="129" t="str">
        <f t="shared" si="43"/>
        <v>N/A</v>
      </c>
      <c r="Q1374" s="128" t="s">
        <v>2718</v>
      </c>
      <c r="R1374" s="128">
        <v>1.2</v>
      </c>
      <c r="S1374" s="130"/>
      <c r="T1374" s="130" t="s">
        <v>31</v>
      </c>
      <c r="U1374" s="131" t="s">
        <v>2492</v>
      </c>
    </row>
    <row r="1375" spans="1:21" ht="15.75" hidden="1" thickBot="1">
      <c r="A1375" s="123">
        <v>1288</v>
      </c>
      <c r="B1375" s="123"/>
      <c r="C1375" s="123"/>
      <c r="D1375" s="123"/>
      <c r="E1375" s="123"/>
      <c r="F1375" s="123"/>
      <c r="G1375" s="127" t="s">
        <v>292</v>
      </c>
      <c r="H1375" s="128">
        <v>2014</v>
      </c>
      <c r="I1375" s="128" t="s">
        <v>38</v>
      </c>
      <c r="J1375" s="128">
        <f t="shared" si="42"/>
        <v>8</v>
      </c>
      <c r="K1375" s="128" t="s">
        <v>311</v>
      </c>
      <c r="L1375" s="128" t="s">
        <v>40</v>
      </c>
      <c r="M1375" s="129" t="s">
        <v>34</v>
      </c>
      <c r="N1375" s="129" t="s">
        <v>28</v>
      </c>
      <c r="O1375" s="129" t="s">
        <v>28</v>
      </c>
      <c r="P1375" s="129" t="str">
        <f t="shared" si="43"/>
        <v>N/A</v>
      </c>
      <c r="Q1375" s="128" t="s">
        <v>2719</v>
      </c>
      <c r="R1375" s="128">
        <v>20.260000000000002</v>
      </c>
      <c r="S1375" s="130"/>
      <c r="T1375" s="130" t="s">
        <v>1015</v>
      </c>
      <c r="U1375" s="131"/>
    </row>
    <row r="1376" spans="1:21" ht="15.75" hidden="1" thickBot="1">
      <c r="A1376" s="123">
        <v>1288</v>
      </c>
      <c r="B1376" s="123"/>
      <c r="C1376" s="123"/>
      <c r="D1376" s="123"/>
      <c r="E1376" s="123"/>
      <c r="F1376" s="123"/>
      <c r="G1376" s="127" t="s">
        <v>292</v>
      </c>
      <c r="H1376" s="128">
        <v>2014</v>
      </c>
      <c r="I1376" s="128" t="s">
        <v>38</v>
      </c>
      <c r="J1376" s="128">
        <f t="shared" si="42"/>
        <v>8</v>
      </c>
      <c r="K1376" s="128" t="s">
        <v>304</v>
      </c>
      <c r="L1376" s="128" t="s">
        <v>30</v>
      </c>
      <c r="M1376" s="129" t="s">
        <v>1003</v>
      </c>
      <c r="N1376" s="129" t="s">
        <v>28</v>
      </c>
      <c r="O1376" s="129" t="s">
        <v>28</v>
      </c>
      <c r="P1376" s="129" t="str">
        <f t="shared" si="43"/>
        <v>N/A</v>
      </c>
      <c r="Q1376" s="128" t="s">
        <v>2720</v>
      </c>
      <c r="R1376" s="128">
        <v>10.14</v>
      </c>
      <c r="S1376" s="130"/>
      <c r="T1376" s="130" t="s">
        <v>1015</v>
      </c>
      <c r="U1376" s="131"/>
    </row>
    <row r="1377" spans="1:21" ht="15.75" hidden="1" thickBot="1">
      <c r="A1377" s="123">
        <v>1288</v>
      </c>
      <c r="B1377" s="123"/>
      <c r="C1377" s="123"/>
      <c r="D1377" s="123"/>
      <c r="E1377" s="123"/>
      <c r="F1377" s="123"/>
      <c r="G1377" s="127" t="s">
        <v>292</v>
      </c>
      <c r="H1377" s="128">
        <v>2014</v>
      </c>
      <c r="I1377" s="128" t="s">
        <v>38</v>
      </c>
      <c r="J1377" s="128">
        <f t="shared" si="42"/>
        <v>8</v>
      </c>
      <c r="K1377" s="128" t="s">
        <v>293</v>
      </c>
      <c r="L1377" s="128" t="s">
        <v>30</v>
      </c>
      <c r="M1377" s="129" t="s">
        <v>31</v>
      </c>
      <c r="N1377" s="129" t="s">
        <v>32</v>
      </c>
      <c r="O1377" s="129" t="s">
        <v>28</v>
      </c>
      <c r="P1377" s="129" t="str">
        <f t="shared" si="43"/>
        <v>N/A</v>
      </c>
      <c r="Q1377" s="128" t="s">
        <v>2721</v>
      </c>
      <c r="R1377" s="128">
        <v>25.75</v>
      </c>
      <c r="S1377" s="128">
        <v>50.76</v>
      </c>
      <c r="T1377" s="130" t="s">
        <v>998</v>
      </c>
      <c r="U1377" s="131"/>
    </row>
    <row r="1378" spans="1:21" ht="15.75" thickBot="1">
      <c r="A1378" s="123">
        <v>1289</v>
      </c>
      <c r="B1378" s="123"/>
      <c r="C1378" s="123"/>
      <c r="D1378" s="123"/>
      <c r="E1378" s="123"/>
      <c r="F1378" s="123"/>
      <c r="G1378" s="127" t="s">
        <v>292</v>
      </c>
      <c r="H1378" s="128">
        <v>2014</v>
      </c>
      <c r="I1378" s="128" t="s">
        <v>76</v>
      </c>
      <c r="J1378" s="128">
        <f t="shared" si="42"/>
        <v>7</v>
      </c>
      <c r="K1378" s="128" t="s">
        <v>2722</v>
      </c>
      <c r="L1378" s="128" t="s">
        <v>30</v>
      </c>
      <c r="M1378" s="129" t="s">
        <v>31</v>
      </c>
      <c r="N1378" s="129" t="s">
        <v>28</v>
      </c>
      <c r="O1378" s="129"/>
      <c r="P1378" s="129" t="str">
        <f t="shared" si="43"/>
        <v/>
      </c>
      <c r="Q1378" s="128" t="s">
        <v>2723</v>
      </c>
      <c r="R1378" s="128">
        <v>7.01</v>
      </c>
      <c r="S1378" s="130"/>
      <c r="T1378" s="130" t="s">
        <v>31</v>
      </c>
      <c r="U1378" s="131"/>
    </row>
    <row r="1379" spans="1:21" ht="15.75" thickBot="1">
      <c r="A1379" s="123">
        <v>1289</v>
      </c>
      <c r="B1379" s="123"/>
      <c r="C1379" s="123"/>
      <c r="D1379" s="123"/>
      <c r="E1379" s="123"/>
      <c r="F1379" s="123"/>
      <c r="G1379" s="127" t="s">
        <v>292</v>
      </c>
      <c r="H1379" s="128">
        <v>2014</v>
      </c>
      <c r="I1379" s="128" t="s">
        <v>76</v>
      </c>
      <c r="J1379" s="128">
        <f t="shared" si="42"/>
        <v>7</v>
      </c>
      <c r="K1379" s="128" t="s">
        <v>2724</v>
      </c>
      <c r="L1379" s="128" t="s">
        <v>30</v>
      </c>
      <c r="M1379" s="129" t="s">
        <v>31</v>
      </c>
      <c r="N1379" s="129" t="s">
        <v>28</v>
      </c>
      <c r="O1379" s="129"/>
      <c r="P1379" s="129" t="str">
        <f t="shared" si="43"/>
        <v/>
      </c>
      <c r="Q1379" s="128" t="s">
        <v>2725</v>
      </c>
      <c r="R1379" s="128">
        <v>17.399999999999999</v>
      </c>
      <c r="S1379" s="130"/>
      <c r="T1379" s="130" t="s">
        <v>31</v>
      </c>
      <c r="U1379" s="131"/>
    </row>
    <row r="1380" spans="1:21" ht="15.75" thickBot="1">
      <c r="A1380" s="123">
        <v>1289</v>
      </c>
      <c r="B1380" s="123"/>
      <c r="C1380" s="123"/>
      <c r="D1380" s="123"/>
      <c r="E1380" s="123"/>
      <c r="F1380" s="123"/>
      <c r="G1380" s="127" t="s">
        <v>292</v>
      </c>
      <c r="H1380" s="128">
        <v>2014</v>
      </c>
      <c r="I1380" s="128" t="s">
        <v>76</v>
      </c>
      <c r="J1380" s="128">
        <f t="shared" si="42"/>
        <v>7</v>
      </c>
      <c r="K1380" s="128" t="s">
        <v>296</v>
      </c>
      <c r="L1380" s="128" t="s">
        <v>30</v>
      </c>
      <c r="M1380" s="129" t="s">
        <v>201</v>
      </c>
      <c r="N1380" s="129" t="s">
        <v>32</v>
      </c>
      <c r="O1380" s="129"/>
      <c r="P1380" s="129" t="str">
        <f t="shared" si="43"/>
        <v/>
      </c>
      <c r="Q1380" s="138" t="s">
        <v>2726</v>
      </c>
      <c r="R1380" s="128">
        <v>22.78</v>
      </c>
      <c r="S1380" s="128">
        <v>59.32</v>
      </c>
      <c r="T1380" s="130" t="s">
        <v>31</v>
      </c>
      <c r="U1380" s="131"/>
    </row>
    <row r="1381" spans="1:21" ht="15.75" thickBot="1">
      <c r="A1381" s="123">
        <v>1289</v>
      </c>
      <c r="B1381" s="123"/>
      <c r="C1381" s="123"/>
      <c r="D1381" s="123"/>
      <c r="E1381" s="123"/>
      <c r="F1381" s="123"/>
      <c r="G1381" s="127" t="s">
        <v>292</v>
      </c>
      <c r="H1381" s="128">
        <v>2014</v>
      </c>
      <c r="I1381" s="128" t="s">
        <v>76</v>
      </c>
      <c r="J1381" s="128">
        <f t="shared" si="42"/>
        <v>7</v>
      </c>
      <c r="K1381" s="128" t="s">
        <v>2727</v>
      </c>
      <c r="L1381" s="128" t="s">
        <v>30</v>
      </c>
      <c r="M1381" s="129" t="s">
        <v>34</v>
      </c>
      <c r="N1381" s="129" t="s">
        <v>28</v>
      </c>
      <c r="O1381" s="129"/>
      <c r="P1381" s="129" t="str">
        <f t="shared" si="43"/>
        <v/>
      </c>
      <c r="Q1381" s="128" t="s">
        <v>2728</v>
      </c>
      <c r="R1381" s="128">
        <v>29.04</v>
      </c>
      <c r="S1381" s="128">
        <v>40.68</v>
      </c>
      <c r="T1381" s="130" t="s">
        <v>31</v>
      </c>
      <c r="U1381" s="131"/>
    </row>
    <row r="1382" spans="1:21" ht="15.75" thickBot="1">
      <c r="A1382" s="123">
        <v>1289</v>
      </c>
      <c r="B1382" s="123"/>
      <c r="C1382" s="123"/>
      <c r="D1382" s="123"/>
      <c r="E1382" s="123"/>
      <c r="F1382" s="123"/>
      <c r="G1382" s="127" t="s">
        <v>292</v>
      </c>
      <c r="H1382" s="128">
        <v>2014</v>
      </c>
      <c r="I1382" s="128" t="s">
        <v>76</v>
      </c>
      <c r="J1382" s="128">
        <f t="shared" si="42"/>
        <v>7</v>
      </c>
      <c r="K1382" s="128" t="s">
        <v>2729</v>
      </c>
      <c r="L1382" s="128" t="s">
        <v>30</v>
      </c>
      <c r="M1382" s="129" t="s">
        <v>31</v>
      </c>
      <c r="N1382" s="129" t="s">
        <v>28</v>
      </c>
      <c r="O1382" s="129"/>
      <c r="P1382" s="129" t="str">
        <f t="shared" si="43"/>
        <v/>
      </c>
      <c r="Q1382" s="128" t="s">
        <v>2730</v>
      </c>
      <c r="R1382" s="128">
        <v>5.5</v>
      </c>
      <c r="S1382" s="130"/>
      <c r="T1382" s="130" t="s">
        <v>31</v>
      </c>
      <c r="U1382" s="131"/>
    </row>
    <row r="1383" spans="1:21" ht="15.75" thickBot="1">
      <c r="A1383" s="123">
        <v>1289</v>
      </c>
      <c r="B1383" s="123"/>
      <c r="C1383" s="123"/>
      <c r="D1383" s="123"/>
      <c r="E1383" s="123"/>
      <c r="F1383" s="123"/>
      <c r="G1383" s="127" t="s">
        <v>292</v>
      </c>
      <c r="H1383" s="128">
        <v>2014</v>
      </c>
      <c r="I1383" s="128" t="s">
        <v>76</v>
      </c>
      <c r="J1383" s="128">
        <f t="shared" si="42"/>
        <v>7</v>
      </c>
      <c r="K1383" s="128" t="s">
        <v>2731</v>
      </c>
      <c r="L1383" s="128" t="s">
        <v>40</v>
      </c>
      <c r="M1383" s="129" t="s">
        <v>31</v>
      </c>
      <c r="N1383" s="129" t="s">
        <v>28</v>
      </c>
      <c r="O1383" s="129"/>
      <c r="P1383" s="129" t="str">
        <f t="shared" si="43"/>
        <v/>
      </c>
      <c r="Q1383" s="128" t="s">
        <v>2732</v>
      </c>
      <c r="R1383" s="128">
        <v>17.03</v>
      </c>
      <c r="S1383" s="130"/>
      <c r="T1383" s="130" t="s">
        <v>998</v>
      </c>
      <c r="U1383" s="131"/>
    </row>
    <row r="1384" spans="1:21" ht="15.75" thickBot="1">
      <c r="A1384" s="123">
        <v>1289</v>
      </c>
      <c r="B1384" s="123"/>
      <c r="C1384" s="123"/>
      <c r="D1384" s="123"/>
      <c r="E1384" s="123"/>
      <c r="F1384" s="123"/>
      <c r="G1384" s="127" t="s">
        <v>292</v>
      </c>
      <c r="H1384" s="128">
        <v>2014</v>
      </c>
      <c r="I1384" s="128" t="s">
        <v>76</v>
      </c>
      <c r="J1384" s="128">
        <f t="shared" si="42"/>
        <v>7</v>
      </c>
      <c r="K1384" s="128" t="s">
        <v>2733</v>
      </c>
      <c r="L1384" s="128" t="s">
        <v>30</v>
      </c>
      <c r="M1384" s="129" t="s">
        <v>31</v>
      </c>
      <c r="N1384" s="129" t="s">
        <v>28</v>
      </c>
      <c r="O1384" s="129"/>
      <c r="P1384" s="129" t="str">
        <f t="shared" si="43"/>
        <v/>
      </c>
      <c r="Q1384" s="128" t="s">
        <v>2734</v>
      </c>
      <c r="R1384" s="128">
        <v>1.24</v>
      </c>
      <c r="S1384" s="130"/>
      <c r="T1384" s="130" t="s">
        <v>998</v>
      </c>
      <c r="U1384" s="131"/>
    </row>
    <row r="1385" spans="1:21" ht="15.75" thickBot="1">
      <c r="A1385" s="123">
        <v>1290</v>
      </c>
      <c r="B1385" s="123"/>
      <c r="C1385" s="123"/>
      <c r="D1385" s="123"/>
      <c r="E1385" s="123"/>
      <c r="F1385" s="123"/>
      <c r="G1385" s="127" t="s">
        <v>292</v>
      </c>
      <c r="H1385" s="128">
        <v>2014</v>
      </c>
      <c r="I1385" s="128" t="s">
        <v>94</v>
      </c>
      <c r="J1385" s="128">
        <f t="shared" si="42"/>
        <v>6</v>
      </c>
      <c r="K1385" s="128" t="s">
        <v>2735</v>
      </c>
      <c r="L1385" s="128" t="s">
        <v>30</v>
      </c>
      <c r="M1385" s="129" t="s">
        <v>31</v>
      </c>
      <c r="N1385" s="129" t="s">
        <v>28</v>
      </c>
      <c r="O1385" s="129"/>
      <c r="P1385" s="129" t="str">
        <f t="shared" si="43"/>
        <v/>
      </c>
      <c r="Q1385" s="128" t="s">
        <v>2736</v>
      </c>
      <c r="R1385" s="128">
        <v>24.24</v>
      </c>
      <c r="S1385" s="128">
        <v>40.86</v>
      </c>
      <c r="T1385" s="130" t="s">
        <v>31</v>
      </c>
      <c r="U1385" s="131"/>
    </row>
    <row r="1386" spans="1:21" ht="15.75" thickBot="1">
      <c r="A1386" s="123">
        <v>1290</v>
      </c>
      <c r="B1386" s="123"/>
      <c r="C1386" s="123"/>
      <c r="D1386" s="123"/>
      <c r="E1386" s="123"/>
      <c r="F1386" s="123"/>
      <c r="G1386" s="127" t="s">
        <v>292</v>
      </c>
      <c r="H1386" s="128">
        <v>2014</v>
      </c>
      <c r="I1386" s="128" t="s">
        <v>94</v>
      </c>
      <c r="J1386" s="128">
        <f t="shared" si="42"/>
        <v>6</v>
      </c>
      <c r="K1386" s="128" t="s">
        <v>2737</v>
      </c>
      <c r="L1386" s="128" t="s">
        <v>30</v>
      </c>
      <c r="M1386" s="129" t="s">
        <v>31</v>
      </c>
      <c r="N1386" s="129" t="s">
        <v>28</v>
      </c>
      <c r="O1386" s="129"/>
      <c r="P1386" s="129" t="str">
        <f t="shared" si="43"/>
        <v/>
      </c>
      <c r="Q1386" s="128" t="s">
        <v>2738</v>
      </c>
      <c r="R1386" s="128">
        <v>11.8</v>
      </c>
      <c r="S1386" s="130"/>
      <c r="T1386" s="130" t="s">
        <v>1015</v>
      </c>
      <c r="U1386" s="131"/>
    </row>
    <row r="1387" spans="1:21" ht="15.75" thickBot="1">
      <c r="A1387" s="123">
        <v>1290</v>
      </c>
      <c r="B1387" s="123"/>
      <c r="C1387" s="123"/>
      <c r="D1387" s="123"/>
      <c r="E1387" s="123"/>
      <c r="F1387" s="123"/>
      <c r="G1387" s="127" t="s">
        <v>292</v>
      </c>
      <c r="H1387" s="128">
        <v>2014</v>
      </c>
      <c r="I1387" s="128" t="s">
        <v>94</v>
      </c>
      <c r="J1387" s="128">
        <f t="shared" si="42"/>
        <v>6</v>
      </c>
      <c r="K1387" s="128" t="s">
        <v>2739</v>
      </c>
      <c r="L1387" s="128" t="s">
        <v>30</v>
      </c>
      <c r="M1387" s="129" t="s">
        <v>31</v>
      </c>
      <c r="N1387" s="129" t="s">
        <v>28</v>
      </c>
      <c r="O1387" s="129"/>
      <c r="P1387" s="129" t="str">
        <f t="shared" si="43"/>
        <v/>
      </c>
      <c r="Q1387" s="128" t="s">
        <v>2740</v>
      </c>
      <c r="R1387" s="128">
        <v>5.67</v>
      </c>
      <c r="S1387" s="130"/>
      <c r="T1387" s="130" t="s">
        <v>31</v>
      </c>
      <c r="U1387" s="131"/>
    </row>
    <row r="1388" spans="1:21" ht="15.75" thickBot="1">
      <c r="A1388" s="123">
        <v>1290</v>
      </c>
      <c r="B1388" s="123"/>
      <c r="C1388" s="123"/>
      <c r="D1388" s="123"/>
      <c r="E1388" s="123"/>
      <c r="F1388" s="123"/>
      <c r="G1388" s="127" t="s">
        <v>292</v>
      </c>
      <c r="H1388" s="128">
        <v>2014</v>
      </c>
      <c r="I1388" s="128" t="s">
        <v>94</v>
      </c>
      <c r="J1388" s="128">
        <f t="shared" si="42"/>
        <v>6</v>
      </c>
      <c r="K1388" s="128" t="s">
        <v>2741</v>
      </c>
      <c r="L1388" s="128" t="s">
        <v>40</v>
      </c>
      <c r="M1388" s="129" t="s">
        <v>34</v>
      </c>
      <c r="N1388" s="129" t="s">
        <v>28</v>
      </c>
      <c r="O1388" s="129"/>
      <c r="P1388" s="129" t="str">
        <f t="shared" si="43"/>
        <v/>
      </c>
      <c r="Q1388" s="128" t="s">
        <v>2742</v>
      </c>
      <c r="R1388" s="128">
        <v>22.34</v>
      </c>
      <c r="S1388" s="130"/>
      <c r="T1388" s="130" t="s">
        <v>31</v>
      </c>
      <c r="U1388" s="131"/>
    </row>
    <row r="1389" spans="1:21" ht="15.75" thickBot="1">
      <c r="A1389" s="123">
        <v>1290</v>
      </c>
      <c r="B1389" s="123"/>
      <c r="C1389" s="123"/>
      <c r="D1389" s="123"/>
      <c r="E1389" s="123"/>
      <c r="F1389" s="123"/>
      <c r="G1389" s="127" t="s">
        <v>292</v>
      </c>
      <c r="H1389" s="128">
        <v>2014</v>
      </c>
      <c r="I1389" s="128" t="s">
        <v>94</v>
      </c>
      <c r="J1389" s="128">
        <f t="shared" si="42"/>
        <v>6</v>
      </c>
      <c r="K1389" s="128" t="s">
        <v>2743</v>
      </c>
      <c r="L1389" s="128" t="s">
        <v>30</v>
      </c>
      <c r="M1389" s="129" t="s">
        <v>1065</v>
      </c>
      <c r="N1389" s="129" t="s">
        <v>28</v>
      </c>
      <c r="O1389" s="129"/>
      <c r="P1389" s="129" t="str">
        <f t="shared" si="43"/>
        <v/>
      </c>
      <c r="Q1389" s="138" t="s">
        <v>2744</v>
      </c>
      <c r="R1389" s="128">
        <v>8.1999999999999993</v>
      </c>
      <c r="S1389" s="130"/>
      <c r="T1389" s="130" t="s">
        <v>998</v>
      </c>
      <c r="U1389" s="131"/>
    </row>
    <row r="1390" spans="1:21" ht="15.75" thickBot="1">
      <c r="A1390" s="123">
        <v>1290</v>
      </c>
      <c r="B1390" s="123"/>
      <c r="C1390" s="123"/>
      <c r="D1390" s="123"/>
      <c r="E1390" s="123"/>
      <c r="F1390" s="123"/>
      <c r="G1390" s="127" t="s">
        <v>292</v>
      </c>
      <c r="H1390" s="128">
        <v>2014</v>
      </c>
      <c r="I1390" s="128" t="s">
        <v>94</v>
      </c>
      <c r="J1390" s="128">
        <f t="shared" si="42"/>
        <v>6</v>
      </c>
      <c r="K1390" s="128" t="s">
        <v>297</v>
      </c>
      <c r="L1390" s="128" t="s">
        <v>30</v>
      </c>
      <c r="M1390" s="129" t="s">
        <v>1065</v>
      </c>
      <c r="N1390" s="129" t="s">
        <v>32</v>
      </c>
      <c r="O1390" s="129"/>
      <c r="P1390" s="129" t="str">
        <f t="shared" si="43"/>
        <v/>
      </c>
      <c r="Q1390" s="128" t="s">
        <v>2745</v>
      </c>
      <c r="R1390" s="128">
        <v>27.74</v>
      </c>
      <c r="S1390" s="128">
        <v>59.14</v>
      </c>
      <c r="T1390" s="130" t="s">
        <v>31</v>
      </c>
      <c r="U1390" s="131"/>
    </row>
    <row r="1391" spans="1:21" ht="15.75" thickBot="1">
      <c r="A1391" s="123">
        <v>1291</v>
      </c>
      <c r="B1391" s="123"/>
      <c r="C1391" s="123"/>
      <c r="D1391" s="123"/>
      <c r="E1391" s="123"/>
      <c r="F1391" s="123"/>
      <c r="G1391" s="127" t="s">
        <v>292</v>
      </c>
      <c r="H1391" s="128">
        <v>2014</v>
      </c>
      <c r="I1391" s="128" t="s">
        <v>97</v>
      </c>
      <c r="J1391" s="128">
        <f t="shared" si="42"/>
        <v>3</v>
      </c>
      <c r="K1391" s="128" t="s">
        <v>298</v>
      </c>
      <c r="L1391" s="128" t="s">
        <v>40</v>
      </c>
      <c r="M1391" s="129" t="s">
        <v>1065</v>
      </c>
      <c r="N1391" s="129" t="s">
        <v>32</v>
      </c>
      <c r="O1391" s="129"/>
      <c r="P1391" s="129" t="str">
        <f t="shared" si="43"/>
        <v/>
      </c>
      <c r="Q1391" s="138" t="s">
        <v>2746</v>
      </c>
      <c r="R1391" s="128">
        <v>53.14</v>
      </c>
      <c r="S1391" s="130"/>
      <c r="T1391" s="130" t="s">
        <v>31</v>
      </c>
      <c r="U1391" s="131"/>
    </row>
    <row r="1392" spans="1:21" ht="15.75" hidden="1" thickBot="1">
      <c r="A1392" s="123">
        <v>1291</v>
      </c>
      <c r="B1392" s="123"/>
      <c r="C1392" s="123"/>
      <c r="D1392" s="123"/>
      <c r="E1392" s="123"/>
      <c r="F1392" s="123"/>
      <c r="G1392" s="127" t="s">
        <v>292</v>
      </c>
      <c r="H1392" s="128">
        <v>2014</v>
      </c>
      <c r="I1392" s="128" t="s">
        <v>97</v>
      </c>
      <c r="J1392" s="128">
        <f t="shared" si="42"/>
        <v>3</v>
      </c>
      <c r="K1392" s="128" t="s">
        <v>2671</v>
      </c>
      <c r="L1392" s="128" t="s">
        <v>30</v>
      </c>
      <c r="M1392" s="129" t="s">
        <v>1065</v>
      </c>
      <c r="N1392" s="129" t="s">
        <v>28</v>
      </c>
      <c r="O1392" s="129" t="s">
        <v>28</v>
      </c>
      <c r="P1392" s="129" t="str">
        <f t="shared" si="43"/>
        <v>N/A</v>
      </c>
      <c r="Q1392" s="128" t="s">
        <v>2747</v>
      </c>
      <c r="R1392" s="128">
        <v>13.48</v>
      </c>
      <c r="S1392" s="130"/>
      <c r="T1392" s="130" t="s">
        <v>998</v>
      </c>
      <c r="U1392" s="131"/>
    </row>
    <row r="1393" spans="1:21" ht="15.75" thickBot="1">
      <c r="A1393" s="123">
        <v>1291</v>
      </c>
      <c r="B1393" s="123"/>
      <c r="C1393" s="123"/>
      <c r="D1393" s="123"/>
      <c r="E1393" s="123"/>
      <c r="F1393" s="123"/>
      <c r="G1393" s="127" t="s">
        <v>292</v>
      </c>
      <c r="H1393" s="128">
        <v>2014</v>
      </c>
      <c r="I1393" s="128" t="s">
        <v>97</v>
      </c>
      <c r="J1393" s="128">
        <f t="shared" si="42"/>
        <v>3</v>
      </c>
      <c r="K1393" s="128" t="s">
        <v>310</v>
      </c>
      <c r="L1393" s="128" t="s">
        <v>30</v>
      </c>
      <c r="M1393" s="129" t="s">
        <v>1065</v>
      </c>
      <c r="N1393" s="129" t="s">
        <v>28</v>
      </c>
      <c r="O1393" s="129" t="s">
        <v>32</v>
      </c>
      <c r="P1393" s="129" t="str">
        <f t="shared" si="43"/>
        <v>N</v>
      </c>
      <c r="Q1393" s="138" t="s">
        <v>2748</v>
      </c>
      <c r="R1393" s="128">
        <v>33.380000000000003</v>
      </c>
      <c r="S1393" s="130"/>
      <c r="T1393" s="130" t="s">
        <v>31</v>
      </c>
      <c r="U1393" s="131"/>
    </row>
    <row r="1394" spans="1:21" ht="15.75" thickBot="1">
      <c r="A1394" s="123">
        <v>1292</v>
      </c>
      <c r="B1394" s="123"/>
      <c r="C1394" s="123"/>
      <c r="D1394" s="123"/>
      <c r="E1394" s="123"/>
      <c r="F1394" s="123"/>
      <c r="G1394" s="127" t="s">
        <v>292</v>
      </c>
      <c r="H1394" s="128">
        <v>2014</v>
      </c>
      <c r="I1394" s="128" t="s">
        <v>82</v>
      </c>
      <c r="J1394" s="128">
        <f t="shared" si="42"/>
        <v>4</v>
      </c>
      <c r="K1394" s="128" t="s">
        <v>2749</v>
      </c>
      <c r="L1394" s="144" t="s">
        <v>40</v>
      </c>
      <c r="M1394" s="129" t="s">
        <v>34</v>
      </c>
      <c r="N1394" s="129" t="s">
        <v>28</v>
      </c>
      <c r="O1394" s="129"/>
      <c r="P1394" s="129" t="str">
        <f t="shared" si="43"/>
        <v/>
      </c>
      <c r="Q1394" s="138" t="s">
        <v>2750</v>
      </c>
      <c r="R1394" s="128">
        <v>12.73</v>
      </c>
      <c r="S1394" s="130"/>
      <c r="T1394" s="130" t="s">
        <v>31</v>
      </c>
      <c r="U1394" s="131"/>
    </row>
    <row r="1395" spans="1:21" ht="26.25" thickBot="1">
      <c r="A1395" s="123">
        <v>1292</v>
      </c>
      <c r="B1395" s="123"/>
      <c r="C1395" s="123"/>
      <c r="D1395" s="123"/>
      <c r="E1395" s="123"/>
      <c r="F1395" s="123"/>
      <c r="G1395" s="127" t="s">
        <v>292</v>
      </c>
      <c r="H1395" s="128">
        <v>2014</v>
      </c>
      <c r="I1395" s="128" t="s">
        <v>82</v>
      </c>
      <c r="J1395" s="128">
        <f t="shared" si="42"/>
        <v>4</v>
      </c>
      <c r="K1395" s="128" t="s">
        <v>2751</v>
      </c>
      <c r="L1395" s="128" t="s">
        <v>40</v>
      </c>
      <c r="M1395" s="129" t="s">
        <v>1065</v>
      </c>
      <c r="N1395" s="129" t="s">
        <v>28</v>
      </c>
      <c r="O1395" s="129"/>
      <c r="P1395" s="129" t="str">
        <f t="shared" si="43"/>
        <v/>
      </c>
      <c r="Q1395" s="128" t="s">
        <v>2752</v>
      </c>
      <c r="R1395" s="128">
        <v>29.31</v>
      </c>
      <c r="S1395" s="128">
        <v>49.24</v>
      </c>
      <c r="T1395" s="130" t="s">
        <v>2753</v>
      </c>
      <c r="U1395" s="131"/>
    </row>
    <row r="1396" spans="1:21" ht="15.75" thickBot="1">
      <c r="A1396" s="123">
        <v>1292</v>
      </c>
      <c r="B1396" s="123"/>
      <c r="C1396" s="123"/>
      <c r="D1396" s="123"/>
      <c r="E1396" s="123"/>
      <c r="F1396" s="123"/>
      <c r="G1396" s="127" t="s">
        <v>292</v>
      </c>
      <c r="H1396" s="128">
        <v>2014</v>
      </c>
      <c r="I1396" s="128" t="s">
        <v>82</v>
      </c>
      <c r="J1396" s="128">
        <f t="shared" si="42"/>
        <v>4</v>
      </c>
      <c r="K1396" s="128" t="s">
        <v>299</v>
      </c>
      <c r="L1396" s="128" t="s">
        <v>30</v>
      </c>
      <c r="M1396" s="129" t="s">
        <v>34</v>
      </c>
      <c r="N1396" s="129" t="s">
        <v>32</v>
      </c>
      <c r="O1396" s="129"/>
      <c r="P1396" s="129" t="str">
        <f t="shared" si="43"/>
        <v/>
      </c>
      <c r="Q1396" s="138" t="s">
        <v>2750</v>
      </c>
      <c r="R1396" s="128">
        <v>31.09</v>
      </c>
      <c r="S1396" s="128">
        <v>50.76</v>
      </c>
      <c r="T1396" s="130" t="s">
        <v>31</v>
      </c>
      <c r="U1396" s="131"/>
    </row>
    <row r="1397" spans="1:21" ht="15.75" thickBot="1">
      <c r="A1397" s="123">
        <v>1292</v>
      </c>
      <c r="B1397" s="123"/>
      <c r="C1397" s="123"/>
      <c r="D1397" s="123"/>
      <c r="E1397" s="123"/>
      <c r="F1397" s="123"/>
      <c r="G1397" s="127" t="s">
        <v>292</v>
      </c>
      <c r="H1397" s="128">
        <v>2014</v>
      </c>
      <c r="I1397" s="128" t="s">
        <v>82</v>
      </c>
      <c r="J1397" s="128">
        <f t="shared" si="42"/>
        <v>4</v>
      </c>
      <c r="K1397" s="128" t="s">
        <v>2654</v>
      </c>
      <c r="L1397" s="128" t="s">
        <v>30</v>
      </c>
      <c r="M1397" s="129" t="s">
        <v>34</v>
      </c>
      <c r="N1397" s="129" t="s">
        <v>28</v>
      </c>
      <c r="O1397" s="129"/>
      <c r="P1397" s="129" t="str">
        <f t="shared" si="43"/>
        <v/>
      </c>
      <c r="Q1397" s="128" t="s">
        <v>2754</v>
      </c>
      <c r="R1397" s="128">
        <v>26.87</v>
      </c>
      <c r="S1397" s="130"/>
      <c r="T1397" s="130" t="s">
        <v>31</v>
      </c>
      <c r="U1397" s="131"/>
    </row>
    <row r="1398" spans="1:21" ht="15.75" thickBot="1">
      <c r="A1398" s="123">
        <v>1293</v>
      </c>
      <c r="B1398" s="123"/>
      <c r="C1398" s="123"/>
      <c r="D1398" s="123"/>
      <c r="E1398" s="123"/>
      <c r="F1398" s="123"/>
      <c r="G1398" s="127" t="s">
        <v>292</v>
      </c>
      <c r="H1398" s="128">
        <v>2014</v>
      </c>
      <c r="I1398" s="128" t="s">
        <v>300</v>
      </c>
      <c r="J1398" s="128">
        <f t="shared" si="42"/>
        <v>2</v>
      </c>
      <c r="K1398" s="128" t="s">
        <v>2755</v>
      </c>
      <c r="L1398" s="128" t="s">
        <v>40</v>
      </c>
      <c r="M1398" s="129" t="s">
        <v>31</v>
      </c>
      <c r="N1398" s="129" t="s">
        <v>28</v>
      </c>
      <c r="O1398" s="129"/>
      <c r="P1398" s="129" t="str">
        <f t="shared" si="43"/>
        <v/>
      </c>
      <c r="Q1398" s="128" t="s">
        <v>2756</v>
      </c>
      <c r="R1398" s="128">
        <v>25.51</v>
      </c>
      <c r="S1398" s="130"/>
      <c r="T1398" s="130" t="s">
        <v>1015</v>
      </c>
      <c r="U1398" s="131"/>
    </row>
    <row r="1399" spans="1:21" ht="15.75" hidden="1" thickBot="1">
      <c r="A1399" s="123">
        <v>1293</v>
      </c>
      <c r="B1399" s="123"/>
      <c r="C1399" s="123"/>
      <c r="D1399" s="123"/>
      <c r="E1399" s="123"/>
      <c r="F1399" s="123"/>
      <c r="G1399" s="127" t="s">
        <v>292</v>
      </c>
      <c r="H1399" s="128">
        <v>2014</v>
      </c>
      <c r="I1399" s="128" t="s">
        <v>300</v>
      </c>
      <c r="J1399" s="128">
        <f t="shared" si="42"/>
        <v>2</v>
      </c>
      <c r="K1399" s="128" t="s">
        <v>301</v>
      </c>
      <c r="L1399" s="128" t="s">
        <v>30</v>
      </c>
      <c r="M1399" s="129" t="s">
        <v>1065</v>
      </c>
      <c r="N1399" s="129" t="s">
        <v>32</v>
      </c>
      <c r="O1399" s="129" t="s">
        <v>32</v>
      </c>
      <c r="P1399" s="129" t="str">
        <f t="shared" si="43"/>
        <v>Y</v>
      </c>
      <c r="Q1399" s="128" t="s">
        <v>2757</v>
      </c>
      <c r="R1399" s="128">
        <v>74.489999999999995</v>
      </c>
      <c r="S1399" s="130"/>
      <c r="T1399" s="130" t="s">
        <v>998</v>
      </c>
      <c r="U1399" s="131"/>
    </row>
    <row r="1400" spans="1:21" ht="15.75" thickBot="1">
      <c r="A1400" s="45">
        <v>1500</v>
      </c>
      <c r="B1400" s="123"/>
      <c r="C1400" s="123"/>
      <c r="D1400" s="123"/>
      <c r="E1400" s="123"/>
      <c r="F1400" s="123"/>
      <c r="G1400" s="127" t="s">
        <v>292</v>
      </c>
      <c r="H1400" s="128">
        <v>2015</v>
      </c>
      <c r="I1400" s="128" t="s">
        <v>79</v>
      </c>
      <c r="J1400" s="128">
        <f t="shared" si="42"/>
        <v>10</v>
      </c>
      <c r="K1400" s="128" t="s">
        <v>2758</v>
      </c>
      <c r="L1400" s="128" t="s">
        <v>30</v>
      </c>
      <c r="M1400" s="129" t="s">
        <v>1065</v>
      </c>
      <c r="N1400" s="129" t="s">
        <v>28</v>
      </c>
      <c r="O1400" s="129"/>
      <c r="P1400" s="129" t="str">
        <f t="shared" si="43"/>
        <v/>
      </c>
      <c r="Q1400" s="128" t="s">
        <v>2759</v>
      </c>
      <c r="R1400" s="128">
        <v>5.68</v>
      </c>
      <c r="S1400" s="130"/>
      <c r="T1400" s="130" t="s">
        <v>998</v>
      </c>
      <c r="U1400" s="131"/>
    </row>
    <row r="1401" spans="1:21" ht="26.25" thickBot="1">
      <c r="A1401" s="45">
        <v>1500</v>
      </c>
      <c r="B1401" s="123"/>
      <c r="C1401" s="123"/>
      <c r="D1401" s="123"/>
      <c r="E1401" s="123"/>
      <c r="F1401" s="123"/>
      <c r="G1401" s="127" t="s">
        <v>292</v>
      </c>
      <c r="H1401" s="128">
        <v>2015</v>
      </c>
      <c r="I1401" s="128" t="s">
        <v>79</v>
      </c>
      <c r="J1401" s="128">
        <f t="shared" si="42"/>
        <v>10</v>
      </c>
      <c r="K1401" s="128" t="s">
        <v>2760</v>
      </c>
      <c r="L1401" s="128" t="s">
        <v>30</v>
      </c>
      <c r="M1401" s="129" t="s">
        <v>34</v>
      </c>
      <c r="N1401" s="129" t="s">
        <v>28</v>
      </c>
      <c r="O1401" s="129"/>
      <c r="P1401" s="129" t="str">
        <f t="shared" si="43"/>
        <v/>
      </c>
      <c r="Q1401" s="128" t="s">
        <v>2761</v>
      </c>
      <c r="R1401" s="128">
        <v>3.19</v>
      </c>
      <c r="S1401" s="130"/>
      <c r="T1401" s="130" t="s">
        <v>1051</v>
      </c>
      <c r="U1401" s="131"/>
    </row>
    <row r="1402" spans="1:21" ht="26.25" thickBot="1">
      <c r="A1402" s="45">
        <v>1500</v>
      </c>
      <c r="B1402" s="123"/>
      <c r="C1402" s="123"/>
      <c r="D1402" s="123"/>
      <c r="E1402" s="123"/>
      <c r="F1402" s="123"/>
      <c r="G1402" s="127" t="s">
        <v>292</v>
      </c>
      <c r="H1402" s="128">
        <v>2015</v>
      </c>
      <c r="I1402" s="128" t="s">
        <v>79</v>
      </c>
      <c r="J1402" s="128">
        <f t="shared" si="42"/>
        <v>10</v>
      </c>
      <c r="K1402" s="128" t="s">
        <v>2556</v>
      </c>
      <c r="L1402" s="128" t="s">
        <v>30</v>
      </c>
      <c r="M1402" s="129" t="s">
        <v>34</v>
      </c>
      <c r="N1402" s="129" t="s">
        <v>28</v>
      </c>
      <c r="O1402" s="129"/>
      <c r="P1402" s="129" t="str">
        <f t="shared" si="43"/>
        <v/>
      </c>
      <c r="Q1402" s="128" t="s">
        <v>2762</v>
      </c>
      <c r="R1402" s="128">
        <v>11.35</v>
      </c>
      <c r="S1402" s="130"/>
      <c r="T1402" s="130" t="s">
        <v>1051</v>
      </c>
      <c r="U1402" s="131"/>
    </row>
    <row r="1403" spans="1:21" ht="15.75" thickBot="1">
      <c r="A1403" s="45">
        <v>1500</v>
      </c>
      <c r="B1403" s="123"/>
      <c r="C1403" s="123"/>
      <c r="D1403" s="123"/>
      <c r="E1403" s="123"/>
      <c r="F1403" s="123"/>
      <c r="G1403" s="127" t="s">
        <v>292</v>
      </c>
      <c r="H1403" s="128">
        <v>2015</v>
      </c>
      <c r="I1403" s="128" t="s">
        <v>79</v>
      </c>
      <c r="J1403" s="128">
        <f t="shared" si="42"/>
        <v>10</v>
      </c>
      <c r="K1403" s="128" t="s">
        <v>2763</v>
      </c>
      <c r="L1403" s="128" t="s">
        <v>30</v>
      </c>
      <c r="M1403" s="129" t="s">
        <v>34</v>
      </c>
      <c r="N1403" s="129" t="s">
        <v>28</v>
      </c>
      <c r="O1403" s="129"/>
      <c r="P1403" s="129" t="str">
        <f t="shared" si="43"/>
        <v/>
      </c>
      <c r="Q1403" s="128" t="s">
        <v>2764</v>
      </c>
      <c r="R1403" s="128">
        <v>3.81</v>
      </c>
      <c r="S1403" s="130"/>
      <c r="T1403" s="130" t="s">
        <v>998</v>
      </c>
      <c r="U1403" s="131"/>
    </row>
    <row r="1404" spans="1:21" ht="15.75" thickBot="1">
      <c r="A1404" s="45">
        <v>1500</v>
      </c>
      <c r="B1404" s="123"/>
      <c r="C1404" s="123"/>
      <c r="D1404" s="123"/>
      <c r="E1404" s="123"/>
      <c r="F1404" s="123"/>
      <c r="G1404" s="127" t="s">
        <v>292</v>
      </c>
      <c r="H1404" s="128">
        <v>2015</v>
      </c>
      <c r="I1404" s="128" t="s">
        <v>79</v>
      </c>
      <c r="J1404" s="128">
        <f t="shared" si="42"/>
        <v>10</v>
      </c>
      <c r="K1404" s="128" t="s">
        <v>2765</v>
      </c>
      <c r="L1404" s="128" t="s">
        <v>30</v>
      </c>
      <c r="M1404" s="129" t="s">
        <v>34</v>
      </c>
      <c r="N1404" s="129" t="s">
        <v>28</v>
      </c>
      <c r="O1404" s="129"/>
      <c r="P1404" s="129" t="str">
        <f t="shared" si="43"/>
        <v/>
      </c>
      <c r="Q1404" s="128" t="s">
        <v>2766</v>
      </c>
      <c r="R1404" s="128">
        <v>7.79</v>
      </c>
      <c r="S1404" s="130"/>
      <c r="T1404" s="130" t="s">
        <v>1015</v>
      </c>
      <c r="U1404" s="131"/>
    </row>
    <row r="1405" spans="1:21" ht="26.25" thickBot="1">
      <c r="A1405" s="45">
        <v>1500</v>
      </c>
      <c r="B1405" s="123"/>
      <c r="C1405" s="123"/>
      <c r="D1405" s="123"/>
      <c r="E1405" s="123"/>
      <c r="F1405" s="123"/>
      <c r="G1405" s="127" t="s">
        <v>292</v>
      </c>
      <c r="H1405" s="128">
        <v>2015</v>
      </c>
      <c r="I1405" s="128" t="s">
        <v>79</v>
      </c>
      <c r="J1405" s="128">
        <f t="shared" si="42"/>
        <v>10</v>
      </c>
      <c r="K1405" s="128" t="s">
        <v>2767</v>
      </c>
      <c r="L1405" s="128" t="s">
        <v>30</v>
      </c>
      <c r="M1405" s="129" t="s">
        <v>34</v>
      </c>
      <c r="N1405" s="129" t="s">
        <v>28</v>
      </c>
      <c r="O1405" s="129"/>
      <c r="P1405" s="129" t="str">
        <f t="shared" si="43"/>
        <v/>
      </c>
      <c r="Q1405" s="128" t="s">
        <v>2698</v>
      </c>
      <c r="R1405" s="128">
        <v>18.98</v>
      </c>
      <c r="S1405" s="130"/>
      <c r="T1405" s="130" t="s">
        <v>1051</v>
      </c>
      <c r="U1405" s="131"/>
    </row>
    <row r="1406" spans="1:21" ht="15.75" thickBot="1">
      <c r="A1406" s="45">
        <v>1500</v>
      </c>
      <c r="B1406" s="123"/>
      <c r="C1406" s="123"/>
      <c r="D1406" s="123"/>
      <c r="E1406" s="123"/>
      <c r="F1406" s="123"/>
      <c r="G1406" s="127" t="s">
        <v>292</v>
      </c>
      <c r="H1406" s="128">
        <v>2015</v>
      </c>
      <c r="I1406" s="128" t="s">
        <v>79</v>
      </c>
      <c r="J1406" s="128">
        <f t="shared" si="42"/>
        <v>10</v>
      </c>
      <c r="K1406" s="128" t="s">
        <v>2768</v>
      </c>
      <c r="L1406" s="128" t="s">
        <v>30</v>
      </c>
      <c r="M1406" s="129" t="s">
        <v>34</v>
      </c>
      <c r="N1406" s="129" t="s">
        <v>32</v>
      </c>
      <c r="O1406" s="129"/>
      <c r="P1406" s="129" t="str">
        <f t="shared" si="43"/>
        <v/>
      </c>
      <c r="Q1406" s="128" t="s">
        <v>2769</v>
      </c>
      <c r="R1406" s="128">
        <v>19.11</v>
      </c>
      <c r="S1406" s="128">
        <v>56.04</v>
      </c>
      <c r="T1406" s="130" t="s">
        <v>998</v>
      </c>
      <c r="U1406" s="131"/>
    </row>
    <row r="1407" spans="1:21" ht="15.75" thickBot="1">
      <c r="A1407" s="45">
        <v>1500</v>
      </c>
      <c r="B1407" s="123"/>
      <c r="C1407" s="123"/>
      <c r="D1407" s="123"/>
      <c r="E1407" s="123"/>
      <c r="F1407" s="123"/>
      <c r="G1407" s="127" t="s">
        <v>292</v>
      </c>
      <c r="H1407" s="128">
        <v>2015</v>
      </c>
      <c r="I1407" s="128" t="s">
        <v>79</v>
      </c>
      <c r="J1407" s="128">
        <f t="shared" si="42"/>
        <v>10</v>
      </c>
      <c r="K1407" s="128" t="s">
        <v>2770</v>
      </c>
      <c r="L1407" s="128" t="s">
        <v>30</v>
      </c>
      <c r="M1407" s="129" t="s">
        <v>34</v>
      </c>
      <c r="N1407" s="129" t="s">
        <v>28</v>
      </c>
      <c r="O1407" s="129"/>
      <c r="P1407" s="129" t="str">
        <f t="shared" si="43"/>
        <v/>
      </c>
      <c r="Q1407" s="128" t="s">
        <v>2771</v>
      </c>
      <c r="R1407" s="128">
        <v>4.95</v>
      </c>
      <c r="S1407" s="130"/>
      <c r="T1407" s="130" t="s">
        <v>998</v>
      </c>
      <c r="U1407" s="131"/>
    </row>
    <row r="1408" spans="1:21" ht="15.75" thickBot="1">
      <c r="A1408" s="45">
        <v>1500</v>
      </c>
      <c r="B1408" s="123"/>
      <c r="C1408" s="123"/>
      <c r="D1408" s="123"/>
      <c r="E1408" s="123"/>
      <c r="F1408" s="123"/>
      <c r="G1408" s="127" t="s">
        <v>292</v>
      </c>
      <c r="H1408" s="128">
        <v>2015</v>
      </c>
      <c r="I1408" s="128" t="s">
        <v>79</v>
      </c>
      <c r="J1408" s="128">
        <f t="shared" si="42"/>
        <v>10</v>
      </c>
      <c r="K1408" s="128" t="s">
        <v>2772</v>
      </c>
      <c r="L1408" s="128" t="s">
        <v>40</v>
      </c>
      <c r="M1408" s="129" t="s">
        <v>34</v>
      </c>
      <c r="N1408" s="129" t="s">
        <v>28</v>
      </c>
      <c r="O1408" s="129"/>
      <c r="P1408" s="129" t="str">
        <f t="shared" si="43"/>
        <v/>
      </c>
      <c r="Q1408" s="128" t="s">
        <v>2773</v>
      </c>
      <c r="R1408" s="128">
        <v>3.14</v>
      </c>
      <c r="S1408" s="130"/>
      <c r="T1408" s="130" t="s">
        <v>1069</v>
      </c>
      <c r="U1408" s="131"/>
    </row>
    <row r="1409" spans="1:21" ht="15.75" thickBot="1">
      <c r="A1409" s="45">
        <v>1500</v>
      </c>
      <c r="B1409" s="123"/>
      <c r="C1409" s="123"/>
      <c r="D1409" s="123"/>
      <c r="E1409" s="123"/>
      <c r="F1409" s="123"/>
      <c r="G1409" s="127" t="s">
        <v>292</v>
      </c>
      <c r="H1409" s="128">
        <v>2015</v>
      </c>
      <c r="I1409" s="128" t="s">
        <v>79</v>
      </c>
      <c r="J1409" s="128">
        <f t="shared" si="42"/>
        <v>10</v>
      </c>
      <c r="K1409" s="128" t="s">
        <v>2774</v>
      </c>
      <c r="L1409" s="128" t="s">
        <v>30</v>
      </c>
      <c r="M1409" s="129" t="s">
        <v>1065</v>
      </c>
      <c r="N1409" s="129" t="s">
        <v>28</v>
      </c>
      <c r="O1409" s="129"/>
      <c r="P1409" s="129" t="str">
        <f t="shared" si="43"/>
        <v/>
      </c>
      <c r="Q1409" s="128" t="s">
        <v>2775</v>
      </c>
      <c r="R1409" s="128">
        <v>22.01</v>
      </c>
      <c r="S1409" s="128">
        <v>43.96</v>
      </c>
      <c r="T1409" s="130" t="s">
        <v>998</v>
      </c>
      <c r="U1409" s="131"/>
    </row>
    <row r="1410" spans="1:21" ht="15.75" thickBot="1">
      <c r="A1410" s="123">
        <v>1372</v>
      </c>
      <c r="B1410" s="123"/>
      <c r="C1410" s="123"/>
      <c r="D1410" s="123"/>
      <c r="E1410" s="123"/>
      <c r="F1410" s="123"/>
      <c r="G1410" s="127" t="s">
        <v>331</v>
      </c>
      <c r="H1410" s="128">
        <v>2000</v>
      </c>
      <c r="I1410" s="128" t="s">
        <v>91</v>
      </c>
      <c r="J1410" s="128">
        <f t="shared" ref="J1410:J1473" si="44">COUNTIF(A$2:A$2215, A1410)</f>
        <v>2</v>
      </c>
      <c r="K1410" s="128" t="s">
        <v>2776</v>
      </c>
      <c r="L1410" s="128" t="s">
        <v>30</v>
      </c>
      <c r="M1410" s="129" t="s">
        <v>1003</v>
      </c>
      <c r="N1410" s="129" t="s">
        <v>28</v>
      </c>
      <c r="O1410" s="129"/>
      <c r="P1410" s="129" t="str">
        <f t="shared" si="43"/>
        <v/>
      </c>
      <c r="Q1410" s="128" t="s">
        <v>1004</v>
      </c>
      <c r="R1410" s="128">
        <v>37.44</v>
      </c>
      <c r="S1410" s="130"/>
      <c r="T1410" s="130"/>
      <c r="U1410" s="131"/>
    </row>
    <row r="1411" spans="1:21" ht="15.75" thickBot="1">
      <c r="A1411" s="123">
        <v>1372</v>
      </c>
      <c r="B1411" s="123"/>
      <c r="C1411" s="123"/>
      <c r="D1411" s="123"/>
      <c r="E1411" s="123"/>
      <c r="F1411" s="123"/>
      <c r="G1411" s="127" t="s">
        <v>331</v>
      </c>
      <c r="H1411" s="128">
        <v>2000</v>
      </c>
      <c r="I1411" s="128" t="s">
        <v>91</v>
      </c>
      <c r="J1411" s="128">
        <f t="shared" si="44"/>
        <v>2</v>
      </c>
      <c r="K1411" s="128" t="s">
        <v>349</v>
      </c>
      <c r="L1411" s="128" t="s">
        <v>40</v>
      </c>
      <c r="M1411" s="129" t="s">
        <v>201</v>
      </c>
      <c r="N1411" s="129" t="s">
        <v>32</v>
      </c>
      <c r="O1411" s="129"/>
      <c r="P1411" s="129" t="str">
        <f t="shared" ref="P1411:P1474" si="45">IF(O1411="N", "N/A", IF(AND(N1411="N",  O1411="Y"), "N", IF(AND(O1411="Y", N1411="Y"), "Y", "")))</f>
        <v/>
      </c>
      <c r="Q1411" s="130"/>
      <c r="R1411" s="128">
        <v>62.56</v>
      </c>
      <c r="S1411" s="130"/>
      <c r="T1411" s="130"/>
      <c r="U1411" s="131"/>
    </row>
    <row r="1412" spans="1:21" ht="15.75" thickBot="1">
      <c r="A1412" s="123">
        <v>1373</v>
      </c>
      <c r="B1412" s="123"/>
      <c r="C1412" s="123"/>
      <c r="D1412" s="123"/>
      <c r="E1412" s="123"/>
      <c r="F1412" s="123"/>
      <c r="G1412" s="127" t="s">
        <v>331</v>
      </c>
      <c r="H1412" s="128">
        <v>2000</v>
      </c>
      <c r="I1412" s="128" t="s">
        <v>79</v>
      </c>
      <c r="J1412" s="128">
        <f t="shared" si="44"/>
        <v>2</v>
      </c>
      <c r="K1412" s="128" t="s">
        <v>356</v>
      </c>
      <c r="L1412" s="128" t="s">
        <v>30</v>
      </c>
      <c r="M1412" s="129" t="s">
        <v>31</v>
      </c>
      <c r="N1412" s="129" t="s">
        <v>32</v>
      </c>
      <c r="O1412" s="129"/>
      <c r="P1412" s="129" t="str">
        <f t="shared" si="45"/>
        <v/>
      </c>
      <c r="Q1412" s="128" t="s">
        <v>2777</v>
      </c>
      <c r="R1412" s="128">
        <v>65.48</v>
      </c>
      <c r="S1412" s="130"/>
      <c r="T1412" s="130" t="s">
        <v>31</v>
      </c>
      <c r="U1412" s="131"/>
    </row>
    <row r="1413" spans="1:21" ht="15.75" thickBot="1">
      <c r="A1413" s="123">
        <v>1373</v>
      </c>
      <c r="B1413" s="123"/>
      <c r="C1413" s="123"/>
      <c r="D1413" s="123"/>
      <c r="E1413" s="123"/>
      <c r="F1413" s="123"/>
      <c r="G1413" s="127" t="s">
        <v>331</v>
      </c>
      <c r="H1413" s="128">
        <v>2000</v>
      </c>
      <c r="I1413" s="128" t="s">
        <v>79</v>
      </c>
      <c r="J1413" s="128">
        <f t="shared" si="44"/>
        <v>2</v>
      </c>
      <c r="K1413" s="128" t="s">
        <v>2778</v>
      </c>
      <c r="L1413" s="128" t="s">
        <v>30</v>
      </c>
      <c r="M1413" s="129" t="s">
        <v>31</v>
      </c>
      <c r="N1413" s="129" t="s">
        <v>28</v>
      </c>
      <c r="O1413" s="129"/>
      <c r="P1413" s="129" t="str">
        <f t="shared" si="45"/>
        <v/>
      </c>
      <c r="Q1413" s="130"/>
      <c r="R1413" s="128">
        <v>34.520000000000003</v>
      </c>
      <c r="S1413" s="130"/>
      <c r="T1413" s="130"/>
      <c r="U1413" s="131"/>
    </row>
    <row r="1414" spans="1:21" ht="15.75" hidden="1" thickBot="1">
      <c r="A1414" s="123">
        <v>1374</v>
      </c>
      <c r="B1414" s="123"/>
      <c r="C1414" s="123"/>
      <c r="D1414" s="123"/>
      <c r="E1414" s="123"/>
      <c r="F1414" s="123"/>
      <c r="G1414" s="127" t="s">
        <v>331</v>
      </c>
      <c r="H1414" s="128">
        <v>2000</v>
      </c>
      <c r="I1414" s="128" t="s">
        <v>100</v>
      </c>
      <c r="J1414" s="128">
        <f t="shared" si="44"/>
        <v>4</v>
      </c>
      <c r="K1414" s="128" t="s">
        <v>346</v>
      </c>
      <c r="L1414" s="128" t="s">
        <v>30</v>
      </c>
      <c r="M1414" s="129" t="s">
        <v>31</v>
      </c>
      <c r="N1414" s="129" t="s">
        <v>32</v>
      </c>
      <c r="O1414" s="129" t="s">
        <v>28</v>
      </c>
      <c r="P1414" s="129" t="str">
        <f t="shared" si="45"/>
        <v>N/A</v>
      </c>
      <c r="Q1414" s="130"/>
      <c r="R1414" s="128">
        <v>47.4</v>
      </c>
      <c r="S1414" s="130"/>
      <c r="T1414" s="130"/>
      <c r="U1414" s="131"/>
    </row>
    <row r="1415" spans="1:21" ht="15.75" thickBot="1">
      <c r="A1415" s="123">
        <v>1374</v>
      </c>
      <c r="B1415" s="123"/>
      <c r="C1415" s="123"/>
      <c r="D1415" s="123"/>
      <c r="E1415" s="123"/>
      <c r="F1415" s="123"/>
      <c r="G1415" s="127" t="s">
        <v>331</v>
      </c>
      <c r="H1415" s="128">
        <v>2000</v>
      </c>
      <c r="I1415" s="128" t="s">
        <v>100</v>
      </c>
      <c r="J1415" s="128">
        <f t="shared" si="44"/>
        <v>4</v>
      </c>
      <c r="K1415" s="128" t="s">
        <v>2779</v>
      </c>
      <c r="L1415" s="128" t="s">
        <v>30</v>
      </c>
      <c r="M1415" s="129" t="s">
        <v>1003</v>
      </c>
      <c r="N1415" s="129" t="s">
        <v>28</v>
      </c>
      <c r="O1415" s="129"/>
      <c r="P1415" s="129" t="str">
        <f t="shared" si="45"/>
        <v/>
      </c>
      <c r="Q1415" s="128" t="s">
        <v>1004</v>
      </c>
      <c r="R1415" s="128">
        <v>13.97</v>
      </c>
      <c r="S1415" s="130"/>
      <c r="T1415" s="130"/>
      <c r="U1415" s="131"/>
    </row>
    <row r="1416" spans="1:21" ht="15.75" thickBot="1">
      <c r="A1416" s="123">
        <v>1374</v>
      </c>
      <c r="B1416" s="123"/>
      <c r="C1416" s="123"/>
      <c r="D1416" s="123"/>
      <c r="E1416" s="123"/>
      <c r="F1416" s="123"/>
      <c r="G1416" s="127" t="s">
        <v>331</v>
      </c>
      <c r="H1416" s="128">
        <v>2000</v>
      </c>
      <c r="I1416" s="128" t="s">
        <v>100</v>
      </c>
      <c r="J1416" s="128">
        <f t="shared" si="44"/>
        <v>4</v>
      </c>
      <c r="K1416" s="128" t="s">
        <v>2780</v>
      </c>
      <c r="L1416" s="128" t="s">
        <v>40</v>
      </c>
      <c r="M1416" s="129" t="s">
        <v>1003</v>
      </c>
      <c r="N1416" s="129" t="s">
        <v>28</v>
      </c>
      <c r="O1416" s="129"/>
      <c r="P1416" s="129" t="str">
        <f t="shared" si="45"/>
        <v/>
      </c>
      <c r="Q1416" s="128" t="s">
        <v>1004</v>
      </c>
      <c r="R1416" s="128">
        <v>20.83</v>
      </c>
      <c r="S1416" s="130"/>
      <c r="T1416" s="130"/>
      <c r="U1416" s="131"/>
    </row>
    <row r="1417" spans="1:21" ht="15.75" thickBot="1">
      <c r="A1417" s="123">
        <v>1374</v>
      </c>
      <c r="B1417" s="123"/>
      <c r="C1417" s="123"/>
      <c r="D1417" s="123"/>
      <c r="E1417" s="123"/>
      <c r="F1417" s="123"/>
      <c r="G1417" s="127" t="s">
        <v>331</v>
      </c>
      <c r="H1417" s="128">
        <v>2000</v>
      </c>
      <c r="I1417" s="128" t="s">
        <v>100</v>
      </c>
      <c r="J1417" s="128">
        <f t="shared" si="44"/>
        <v>4</v>
      </c>
      <c r="K1417" s="128" t="s">
        <v>2781</v>
      </c>
      <c r="L1417" s="128" t="s">
        <v>30</v>
      </c>
      <c r="M1417" s="129" t="s">
        <v>31</v>
      </c>
      <c r="N1417" s="129" t="s">
        <v>28</v>
      </c>
      <c r="O1417" s="129"/>
      <c r="P1417" s="129" t="str">
        <f t="shared" si="45"/>
        <v/>
      </c>
      <c r="Q1417" s="130"/>
      <c r="R1417" s="128">
        <v>17.8</v>
      </c>
      <c r="S1417" s="130"/>
      <c r="T1417" s="130"/>
      <c r="U1417" s="131"/>
    </row>
    <row r="1418" spans="1:21" ht="15.75" thickBot="1">
      <c r="A1418" s="123">
        <v>1368</v>
      </c>
      <c r="B1418" s="123"/>
      <c r="C1418" s="123"/>
      <c r="D1418" s="123"/>
      <c r="E1418" s="123"/>
      <c r="F1418" s="123"/>
      <c r="G1418" s="127" t="s">
        <v>331</v>
      </c>
      <c r="H1418" s="128">
        <v>2002</v>
      </c>
      <c r="I1418" s="128" t="s">
        <v>38</v>
      </c>
      <c r="J1418" s="128">
        <f t="shared" si="44"/>
        <v>3</v>
      </c>
      <c r="K1418" s="128" t="s">
        <v>2778</v>
      </c>
      <c r="L1418" s="128" t="s">
        <v>30</v>
      </c>
      <c r="M1418" s="129" t="s">
        <v>31</v>
      </c>
      <c r="N1418" s="129" t="s">
        <v>28</v>
      </c>
      <c r="O1418" s="129"/>
      <c r="P1418" s="129" t="str">
        <f t="shared" si="45"/>
        <v/>
      </c>
      <c r="Q1418" s="130"/>
      <c r="R1418" s="128">
        <v>10.53</v>
      </c>
      <c r="S1418" s="130"/>
      <c r="T1418" s="130"/>
      <c r="U1418" s="131"/>
    </row>
    <row r="1419" spans="1:21" ht="15.75" thickBot="1">
      <c r="A1419" s="123">
        <v>1368</v>
      </c>
      <c r="B1419" s="123"/>
      <c r="C1419" s="123"/>
      <c r="D1419" s="123"/>
      <c r="E1419" s="123"/>
      <c r="F1419" s="123"/>
      <c r="G1419" s="127" t="s">
        <v>331</v>
      </c>
      <c r="H1419" s="128">
        <v>2002</v>
      </c>
      <c r="I1419" s="128" t="s">
        <v>38</v>
      </c>
      <c r="J1419" s="128">
        <f t="shared" si="44"/>
        <v>3</v>
      </c>
      <c r="K1419" s="128" t="s">
        <v>2781</v>
      </c>
      <c r="L1419" s="128" t="s">
        <v>30</v>
      </c>
      <c r="M1419" s="129" t="s">
        <v>31</v>
      </c>
      <c r="N1419" s="129" t="s">
        <v>28</v>
      </c>
      <c r="O1419" s="129"/>
      <c r="P1419" s="129" t="str">
        <f t="shared" si="45"/>
        <v/>
      </c>
      <c r="Q1419" s="128" t="s">
        <v>2782</v>
      </c>
      <c r="R1419" s="128">
        <v>10.14</v>
      </c>
      <c r="S1419" s="130"/>
      <c r="T1419" s="130"/>
      <c r="U1419" s="131"/>
    </row>
    <row r="1420" spans="1:21" ht="15.75" thickBot="1">
      <c r="A1420" s="123">
        <v>1368</v>
      </c>
      <c r="B1420" s="123"/>
      <c r="C1420" s="123"/>
      <c r="D1420" s="123"/>
      <c r="E1420" s="123"/>
      <c r="F1420" s="123"/>
      <c r="G1420" s="127" t="s">
        <v>331</v>
      </c>
      <c r="H1420" s="128">
        <v>2002</v>
      </c>
      <c r="I1420" s="128" t="s">
        <v>38</v>
      </c>
      <c r="J1420" s="128">
        <f t="shared" si="44"/>
        <v>3</v>
      </c>
      <c r="K1420" s="128" t="s">
        <v>352</v>
      </c>
      <c r="L1420" s="128" t="s">
        <v>40</v>
      </c>
      <c r="M1420" s="129" t="s">
        <v>31</v>
      </c>
      <c r="N1420" s="129" t="s">
        <v>32</v>
      </c>
      <c r="O1420" s="129"/>
      <c r="P1420" s="129" t="str">
        <f t="shared" si="45"/>
        <v/>
      </c>
      <c r="Q1420" s="128" t="s">
        <v>2783</v>
      </c>
      <c r="R1420" s="128">
        <v>79.069999999999993</v>
      </c>
      <c r="S1420" s="130"/>
      <c r="T1420" s="130" t="s">
        <v>31</v>
      </c>
      <c r="U1420" s="131"/>
    </row>
    <row r="1421" spans="1:21" ht="15.75" thickBot="1">
      <c r="A1421" s="123">
        <v>1369</v>
      </c>
      <c r="B1421" s="123"/>
      <c r="C1421" s="123"/>
      <c r="D1421" s="123"/>
      <c r="E1421" s="123"/>
      <c r="F1421" s="123"/>
      <c r="G1421" s="127" t="s">
        <v>331</v>
      </c>
      <c r="H1421" s="128">
        <v>2002</v>
      </c>
      <c r="I1421" s="128" t="s">
        <v>76</v>
      </c>
      <c r="J1421" s="128">
        <f t="shared" si="44"/>
        <v>1</v>
      </c>
      <c r="K1421" s="128" t="s">
        <v>353</v>
      </c>
      <c r="L1421" s="128" t="s">
        <v>30</v>
      </c>
      <c r="M1421" s="129" t="s">
        <v>201</v>
      </c>
      <c r="N1421" s="129" t="s">
        <v>32</v>
      </c>
      <c r="O1421" s="129"/>
      <c r="P1421" s="129" t="str">
        <f t="shared" si="45"/>
        <v/>
      </c>
      <c r="Q1421" s="130"/>
      <c r="R1421" s="128">
        <v>98.75</v>
      </c>
      <c r="S1421" s="130"/>
      <c r="T1421" s="130"/>
      <c r="U1421" s="131"/>
    </row>
    <row r="1422" spans="1:21" ht="15.75" thickBot="1">
      <c r="A1422" s="123">
        <v>1370</v>
      </c>
      <c r="B1422" s="123"/>
      <c r="C1422" s="123"/>
      <c r="D1422" s="123"/>
      <c r="E1422" s="123"/>
      <c r="F1422" s="123"/>
      <c r="G1422" s="127" t="s">
        <v>331</v>
      </c>
      <c r="H1422" s="128">
        <v>2002</v>
      </c>
      <c r="I1422" s="128" t="s">
        <v>94</v>
      </c>
      <c r="J1422" s="128">
        <f t="shared" si="44"/>
        <v>2</v>
      </c>
      <c r="K1422" s="128" t="s">
        <v>354</v>
      </c>
      <c r="L1422" s="128" t="s">
        <v>40</v>
      </c>
      <c r="M1422" s="129" t="s">
        <v>31</v>
      </c>
      <c r="N1422" s="129" t="s">
        <v>32</v>
      </c>
      <c r="O1422" s="129"/>
      <c r="P1422" s="129" t="str">
        <f t="shared" si="45"/>
        <v/>
      </c>
      <c r="Q1422" s="128" t="s">
        <v>2784</v>
      </c>
      <c r="R1422" s="128">
        <v>64.47</v>
      </c>
      <c r="S1422" s="130"/>
      <c r="T1422" s="130" t="s">
        <v>31</v>
      </c>
      <c r="U1422" s="131"/>
    </row>
    <row r="1423" spans="1:21" ht="15.75" thickBot="1">
      <c r="A1423" s="123">
        <v>1370</v>
      </c>
      <c r="B1423" s="123"/>
      <c r="C1423" s="123"/>
      <c r="D1423" s="123"/>
      <c r="E1423" s="123"/>
      <c r="F1423" s="123"/>
      <c r="G1423" s="127" t="s">
        <v>331</v>
      </c>
      <c r="H1423" s="128">
        <v>2002</v>
      </c>
      <c r="I1423" s="128" t="s">
        <v>94</v>
      </c>
      <c r="J1423" s="128">
        <f t="shared" si="44"/>
        <v>2</v>
      </c>
      <c r="K1423" s="128" t="s">
        <v>2785</v>
      </c>
      <c r="L1423" s="128" t="s">
        <v>30</v>
      </c>
      <c r="M1423" s="129" t="s">
        <v>1003</v>
      </c>
      <c r="N1423" s="129" t="s">
        <v>28</v>
      </c>
      <c r="O1423" s="129"/>
      <c r="P1423" s="129" t="str">
        <f t="shared" si="45"/>
        <v/>
      </c>
      <c r="Q1423" s="128" t="s">
        <v>1004</v>
      </c>
      <c r="R1423" s="128">
        <v>35.33</v>
      </c>
      <c r="S1423" s="130"/>
      <c r="T1423" s="130"/>
      <c r="U1423" s="131"/>
    </row>
    <row r="1424" spans="1:21" ht="15.75" thickBot="1">
      <c r="A1424" s="123">
        <v>1371</v>
      </c>
      <c r="B1424" s="123"/>
      <c r="C1424" s="123"/>
      <c r="D1424" s="123"/>
      <c r="E1424" s="123"/>
      <c r="F1424" s="123"/>
      <c r="G1424" s="127" t="s">
        <v>331</v>
      </c>
      <c r="H1424" s="128">
        <v>2002</v>
      </c>
      <c r="I1424" s="128" t="s">
        <v>97</v>
      </c>
      <c r="J1424" s="128">
        <f t="shared" si="44"/>
        <v>1</v>
      </c>
      <c r="K1424" s="128" t="s">
        <v>347</v>
      </c>
      <c r="L1424" s="128" t="s">
        <v>30</v>
      </c>
      <c r="M1424" s="129" t="s">
        <v>31</v>
      </c>
      <c r="N1424" s="129" t="s">
        <v>32</v>
      </c>
      <c r="O1424" s="129"/>
      <c r="P1424" s="129" t="str">
        <f t="shared" si="45"/>
        <v/>
      </c>
      <c r="Q1424" s="130"/>
      <c r="R1424" s="128">
        <v>98.98</v>
      </c>
      <c r="S1424" s="130"/>
      <c r="T1424" s="130"/>
      <c r="U1424" s="131"/>
    </row>
    <row r="1425" spans="1:21" ht="15.75" hidden="1" thickBot="1">
      <c r="A1425" s="123">
        <v>1365</v>
      </c>
      <c r="B1425" s="123"/>
      <c r="C1425" s="123"/>
      <c r="D1425" s="123"/>
      <c r="E1425" s="123"/>
      <c r="F1425" s="123"/>
      <c r="G1425" s="127" t="s">
        <v>331</v>
      </c>
      <c r="H1425" s="128">
        <v>2004</v>
      </c>
      <c r="I1425" s="128" t="s">
        <v>91</v>
      </c>
      <c r="J1425" s="128">
        <f t="shared" si="44"/>
        <v>2</v>
      </c>
      <c r="K1425" s="128" t="s">
        <v>349</v>
      </c>
      <c r="L1425" s="128" t="s">
        <v>40</v>
      </c>
      <c r="M1425" s="129" t="s">
        <v>201</v>
      </c>
      <c r="N1425" s="129" t="s">
        <v>32</v>
      </c>
      <c r="O1425" s="129" t="s">
        <v>32</v>
      </c>
      <c r="P1425" s="129" t="str">
        <f t="shared" si="45"/>
        <v>Y</v>
      </c>
      <c r="Q1425" s="128" t="s">
        <v>2786</v>
      </c>
      <c r="R1425" s="128">
        <v>62.58</v>
      </c>
      <c r="S1425" s="130"/>
      <c r="T1425" s="130" t="s">
        <v>998</v>
      </c>
      <c r="U1425" s="131"/>
    </row>
    <row r="1426" spans="1:21" ht="15.75" thickBot="1">
      <c r="A1426" s="123">
        <v>1365</v>
      </c>
      <c r="B1426" s="123"/>
      <c r="C1426" s="123"/>
      <c r="D1426" s="123"/>
      <c r="E1426" s="123"/>
      <c r="F1426" s="123"/>
      <c r="G1426" s="127" t="s">
        <v>331</v>
      </c>
      <c r="H1426" s="128">
        <v>2004</v>
      </c>
      <c r="I1426" s="128" t="s">
        <v>91</v>
      </c>
      <c r="J1426" s="128">
        <f t="shared" si="44"/>
        <v>2</v>
      </c>
      <c r="K1426" s="128" t="s">
        <v>2776</v>
      </c>
      <c r="L1426" s="128" t="s">
        <v>30</v>
      </c>
      <c r="M1426" s="129" t="s">
        <v>1003</v>
      </c>
      <c r="N1426" s="129" t="s">
        <v>28</v>
      </c>
      <c r="O1426" s="129"/>
      <c r="P1426" s="129" t="str">
        <f t="shared" si="45"/>
        <v/>
      </c>
      <c r="Q1426" s="128" t="s">
        <v>1004</v>
      </c>
      <c r="R1426" s="128">
        <v>37.32</v>
      </c>
      <c r="S1426" s="130"/>
      <c r="T1426" s="130"/>
      <c r="U1426" s="131"/>
    </row>
    <row r="1427" spans="1:21" ht="15.75" thickBot="1">
      <c r="A1427" s="123">
        <v>1366</v>
      </c>
      <c r="B1427" s="123"/>
      <c r="C1427" s="123"/>
      <c r="D1427" s="123"/>
      <c r="E1427" s="123"/>
      <c r="F1427" s="123"/>
      <c r="G1427" s="127" t="s">
        <v>331</v>
      </c>
      <c r="H1427" s="128">
        <v>2004</v>
      </c>
      <c r="I1427" s="128" t="s">
        <v>79</v>
      </c>
      <c r="J1427" s="128">
        <f t="shared" si="44"/>
        <v>3</v>
      </c>
      <c r="K1427" s="128" t="s">
        <v>351</v>
      </c>
      <c r="L1427" s="128" t="s">
        <v>40</v>
      </c>
      <c r="M1427" s="129" t="s">
        <v>31</v>
      </c>
      <c r="N1427" s="129" t="s">
        <v>32</v>
      </c>
      <c r="O1427" s="129"/>
      <c r="P1427" s="129" t="str">
        <f t="shared" si="45"/>
        <v/>
      </c>
      <c r="Q1427" s="130"/>
      <c r="R1427" s="128">
        <v>47.55</v>
      </c>
      <c r="S1427" s="128">
        <v>56.1</v>
      </c>
      <c r="T1427" s="130"/>
      <c r="U1427" s="131"/>
    </row>
    <row r="1428" spans="1:21" ht="15.75" thickBot="1">
      <c r="A1428" s="123">
        <v>1366</v>
      </c>
      <c r="B1428" s="123"/>
      <c r="C1428" s="123"/>
      <c r="D1428" s="123"/>
      <c r="E1428" s="123"/>
      <c r="F1428" s="123"/>
      <c r="G1428" s="127" t="s">
        <v>331</v>
      </c>
      <c r="H1428" s="128">
        <v>2004</v>
      </c>
      <c r="I1428" s="128" t="s">
        <v>79</v>
      </c>
      <c r="J1428" s="128">
        <f t="shared" si="44"/>
        <v>3</v>
      </c>
      <c r="K1428" s="128" t="s">
        <v>2778</v>
      </c>
      <c r="L1428" s="128" t="s">
        <v>30</v>
      </c>
      <c r="M1428" s="129" t="s">
        <v>31</v>
      </c>
      <c r="N1428" s="129" t="s">
        <v>28</v>
      </c>
      <c r="O1428" s="129"/>
      <c r="P1428" s="129" t="str">
        <f t="shared" si="45"/>
        <v/>
      </c>
      <c r="Q1428" s="130"/>
      <c r="R1428" s="128">
        <v>11.93</v>
      </c>
      <c r="S1428" s="130"/>
      <c r="T1428" s="130"/>
      <c r="U1428" s="131"/>
    </row>
    <row r="1429" spans="1:21" ht="15.75" thickBot="1">
      <c r="A1429" s="123">
        <v>1366</v>
      </c>
      <c r="B1429" s="123"/>
      <c r="C1429" s="123"/>
      <c r="D1429" s="123"/>
      <c r="E1429" s="123"/>
      <c r="F1429" s="123"/>
      <c r="G1429" s="127" t="s">
        <v>331</v>
      </c>
      <c r="H1429" s="128">
        <v>2004</v>
      </c>
      <c r="I1429" s="128" t="s">
        <v>79</v>
      </c>
      <c r="J1429" s="128">
        <f t="shared" si="44"/>
        <v>3</v>
      </c>
      <c r="K1429" s="128" t="s">
        <v>2787</v>
      </c>
      <c r="L1429" s="128" t="s">
        <v>30</v>
      </c>
      <c r="M1429" s="129" t="s">
        <v>31</v>
      </c>
      <c r="N1429" s="129" t="s">
        <v>28</v>
      </c>
      <c r="O1429" s="129"/>
      <c r="P1429" s="129" t="str">
        <f t="shared" si="45"/>
        <v/>
      </c>
      <c r="Q1429" s="128" t="s">
        <v>2788</v>
      </c>
      <c r="R1429" s="128">
        <v>40.450000000000003</v>
      </c>
      <c r="S1429" s="128">
        <v>43.9</v>
      </c>
      <c r="T1429" s="130" t="s">
        <v>31</v>
      </c>
      <c r="U1429" s="131"/>
    </row>
    <row r="1430" spans="1:21" ht="15.75" hidden="1" thickBot="1">
      <c r="A1430" s="123">
        <v>1367</v>
      </c>
      <c r="B1430" s="123"/>
      <c r="C1430" s="123"/>
      <c r="D1430" s="123"/>
      <c r="E1430" s="123"/>
      <c r="F1430" s="123"/>
      <c r="G1430" s="127" t="s">
        <v>331</v>
      </c>
      <c r="H1430" s="128">
        <v>2004</v>
      </c>
      <c r="I1430" s="128" t="s">
        <v>100</v>
      </c>
      <c r="J1430" s="128">
        <f t="shared" si="44"/>
        <v>3</v>
      </c>
      <c r="K1430" s="128" t="s">
        <v>2789</v>
      </c>
      <c r="L1430" s="128" t="s">
        <v>30</v>
      </c>
      <c r="M1430" s="129" t="s">
        <v>31</v>
      </c>
      <c r="N1430" s="129" t="s">
        <v>32</v>
      </c>
      <c r="O1430" s="129" t="s">
        <v>32</v>
      </c>
      <c r="P1430" s="129" t="str">
        <f t="shared" si="45"/>
        <v>Y</v>
      </c>
      <c r="Q1430" s="130"/>
      <c r="R1430" s="128">
        <v>73.040000000000006</v>
      </c>
      <c r="S1430" s="130"/>
      <c r="T1430" s="130"/>
      <c r="U1430" s="131"/>
    </row>
    <row r="1431" spans="1:21" ht="15.75" thickBot="1">
      <c r="A1431" s="123">
        <v>1367</v>
      </c>
      <c r="B1431" s="123"/>
      <c r="C1431" s="123"/>
      <c r="D1431" s="123"/>
      <c r="E1431" s="123"/>
      <c r="F1431" s="123"/>
      <c r="G1431" s="127" t="s">
        <v>331</v>
      </c>
      <c r="H1431" s="128">
        <v>2004</v>
      </c>
      <c r="I1431" s="128" t="s">
        <v>100</v>
      </c>
      <c r="J1431" s="128">
        <f t="shared" si="44"/>
        <v>3</v>
      </c>
      <c r="K1431" s="128" t="s">
        <v>2781</v>
      </c>
      <c r="L1431" s="128" t="s">
        <v>30</v>
      </c>
      <c r="M1431" s="129" t="s">
        <v>31</v>
      </c>
      <c r="N1431" s="129" t="s">
        <v>28</v>
      </c>
      <c r="O1431" s="129"/>
      <c r="P1431" s="129" t="str">
        <f t="shared" si="45"/>
        <v/>
      </c>
      <c r="Q1431" s="130"/>
      <c r="R1431" s="128">
        <v>14.84</v>
      </c>
      <c r="S1431" s="130"/>
      <c r="T1431" s="130"/>
      <c r="U1431" s="131"/>
    </row>
    <row r="1432" spans="1:21" ht="15.75" thickBot="1">
      <c r="A1432" s="123">
        <v>1367</v>
      </c>
      <c r="B1432" s="123"/>
      <c r="C1432" s="123"/>
      <c r="D1432" s="123"/>
      <c r="E1432" s="123"/>
      <c r="F1432" s="123"/>
      <c r="G1432" s="127" t="s">
        <v>331</v>
      </c>
      <c r="H1432" s="128">
        <v>2004</v>
      </c>
      <c r="I1432" s="128" t="s">
        <v>100</v>
      </c>
      <c r="J1432" s="128">
        <f t="shared" si="44"/>
        <v>3</v>
      </c>
      <c r="K1432" s="128" t="s">
        <v>2790</v>
      </c>
      <c r="L1432" s="128" t="s">
        <v>40</v>
      </c>
      <c r="M1432" s="129" t="s">
        <v>1013</v>
      </c>
      <c r="N1432" s="129" t="s">
        <v>28</v>
      </c>
      <c r="O1432" s="129"/>
      <c r="P1432" s="129" t="str">
        <f t="shared" si="45"/>
        <v/>
      </c>
      <c r="Q1432" s="130"/>
      <c r="R1432" s="128">
        <v>12.03</v>
      </c>
      <c r="S1432" s="130"/>
      <c r="T1432" s="130"/>
      <c r="U1432" s="131"/>
    </row>
    <row r="1433" spans="1:21" ht="15.75" hidden="1" thickBot="1">
      <c r="A1433" s="123">
        <v>1361</v>
      </c>
      <c r="B1433" s="123"/>
      <c r="C1433" s="123"/>
      <c r="D1433" s="123"/>
      <c r="E1433" s="123"/>
      <c r="F1433" s="123"/>
      <c r="G1433" s="127" t="s">
        <v>331</v>
      </c>
      <c r="H1433" s="128">
        <v>2006</v>
      </c>
      <c r="I1433" s="128" t="s">
        <v>38</v>
      </c>
      <c r="J1433" s="128">
        <f t="shared" si="44"/>
        <v>4</v>
      </c>
      <c r="K1433" s="128" t="s">
        <v>346</v>
      </c>
      <c r="L1433" s="128" t="s">
        <v>30</v>
      </c>
      <c r="M1433" s="129" t="s">
        <v>31</v>
      </c>
      <c r="N1433" s="129" t="s">
        <v>32</v>
      </c>
      <c r="O1433" s="129" t="s">
        <v>28</v>
      </c>
      <c r="P1433" s="129" t="str">
        <f t="shared" si="45"/>
        <v>N/A</v>
      </c>
      <c r="Q1433" s="130"/>
      <c r="R1433" s="128">
        <v>47.71</v>
      </c>
      <c r="S1433" s="128">
        <v>56.94</v>
      </c>
      <c r="T1433" s="130"/>
      <c r="U1433" s="131"/>
    </row>
    <row r="1434" spans="1:21" ht="15.75" hidden="1" thickBot="1">
      <c r="A1434" s="123">
        <v>1361</v>
      </c>
      <c r="B1434" s="123"/>
      <c r="C1434" s="123"/>
      <c r="D1434" s="123"/>
      <c r="E1434" s="123"/>
      <c r="F1434" s="123"/>
      <c r="G1434" s="127" t="s">
        <v>331</v>
      </c>
      <c r="H1434" s="128">
        <v>2006</v>
      </c>
      <c r="I1434" s="128" t="s">
        <v>38</v>
      </c>
      <c r="J1434" s="128">
        <f t="shared" si="44"/>
        <v>4</v>
      </c>
      <c r="K1434" s="128" t="s">
        <v>2778</v>
      </c>
      <c r="L1434" s="128" t="s">
        <v>30</v>
      </c>
      <c r="M1434" s="129" t="s">
        <v>31</v>
      </c>
      <c r="N1434" s="129" t="s">
        <v>28</v>
      </c>
      <c r="O1434" s="129" t="s">
        <v>28</v>
      </c>
      <c r="P1434" s="129" t="str">
        <f t="shared" si="45"/>
        <v>N/A</v>
      </c>
      <c r="Q1434" s="130"/>
      <c r="R1434" s="128">
        <v>5.83</v>
      </c>
      <c r="S1434" s="130"/>
      <c r="T1434" s="130"/>
      <c r="U1434" s="131"/>
    </row>
    <row r="1435" spans="1:21" ht="15.75" hidden="1" thickBot="1">
      <c r="A1435" s="123">
        <v>1361</v>
      </c>
      <c r="B1435" s="123"/>
      <c r="C1435" s="123"/>
      <c r="D1435" s="123"/>
      <c r="E1435" s="123"/>
      <c r="F1435" s="123"/>
      <c r="G1435" s="127" t="s">
        <v>331</v>
      </c>
      <c r="H1435" s="128">
        <v>2006</v>
      </c>
      <c r="I1435" s="128" t="s">
        <v>38</v>
      </c>
      <c r="J1435" s="128">
        <f t="shared" si="44"/>
        <v>4</v>
      </c>
      <c r="K1435" s="128" t="s">
        <v>2791</v>
      </c>
      <c r="L1435" s="128" t="s">
        <v>40</v>
      </c>
      <c r="M1435" s="129" t="s">
        <v>1003</v>
      </c>
      <c r="N1435" s="129" t="s">
        <v>28</v>
      </c>
      <c r="O1435" s="129" t="s">
        <v>28</v>
      </c>
      <c r="P1435" s="129" t="str">
        <f t="shared" si="45"/>
        <v>N/A</v>
      </c>
      <c r="Q1435" s="128" t="s">
        <v>1004</v>
      </c>
      <c r="R1435" s="128">
        <v>10.4</v>
      </c>
      <c r="S1435" s="130"/>
      <c r="T1435" s="130"/>
      <c r="U1435" s="131"/>
    </row>
    <row r="1436" spans="1:21" ht="15.75" hidden="1" thickBot="1">
      <c r="A1436" s="123">
        <v>1361</v>
      </c>
      <c r="B1436" s="123"/>
      <c r="C1436" s="123"/>
      <c r="D1436" s="123"/>
      <c r="E1436" s="123"/>
      <c r="F1436" s="123"/>
      <c r="G1436" s="127" t="s">
        <v>331</v>
      </c>
      <c r="H1436" s="128">
        <v>2006</v>
      </c>
      <c r="I1436" s="128" t="s">
        <v>38</v>
      </c>
      <c r="J1436" s="128">
        <f t="shared" si="44"/>
        <v>4</v>
      </c>
      <c r="K1436" s="128" t="s">
        <v>353</v>
      </c>
      <c r="L1436" s="128" t="s">
        <v>30</v>
      </c>
      <c r="M1436" s="129" t="s">
        <v>201</v>
      </c>
      <c r="N1436" s="129" t="s">
        <v>28</v>
      </c>
      <c r="O1436" s="129" t="s">
        <v>28</v>
      </c>
      <c r="P1436" s="129" t="str">
        <f t="shared" si="45"/>
        <v>N/A</v>
      </c>
      <c r="Q1436" s="128" t="s">
        <v>2792</v>
      </c>
      <c r="R1436" s="128">
        <v>36.200000000000003</v>
      </c>
      <c r="S1436" s="128">
        <v>42.58</v>
      </c>
      <c r="T1436" s="130" t="s">
        <v>1069</v>
      </c>
      <c r="U1436" s="131"/>
    </row>
    <row r="1437" spans="1:21" ht="15.75" hidden="1" thickBot="1">
      <c r="A1437" s="123">
        <v>1362</v>
      </c>
      <c r="B1437" s="123"/>
      <c r="C1437" s="123"/>
      <c r="D1437" s="123"/>
      <c r="E1437" s="123"/>
      <c r="F1437" s="123"/>
      <c r="G1437" s="127" t="s">
        <v>331</v>
      </c>
      <c r="H1437" s="128">
        <v>2006</v>
      </c>
      <c r="I1437" s="128" t="s">
        <v>76</v>
      </c>
      <c r="J1437" s="128">
        <f t="shared" si="44"/>
        <v>2</v>
      </c>
      <c r="K1437" s="128" t="s">
        <v>2793</v>
      </c>
      <c r="L1437" s="128" t="s">
        <v>30</v>
      </c>
      <c r="M1437" s="129" t="s">
        <v>1003</v>
      </c>
      <c r="N1437" s="129" t="s">
        <v>28</v>
      </c>
      <c r="O1437" s="129" t="s">
        <v>28</v>
      </c>
      <c r="P1437" s="129" t="str">
        <f t="shared" si="45"/>
        <v>N/A</v>
      </c>
      <c r="Q1437" s="132" t="s">
        <v>2794</v>
      </c>
      <c r="R1437" s="128">
        <v>36.04</v>
      </c>
      <c r="S1437" s="130"/>
      <c r="T1437" s="130"/>
      <c r="U1437" s="131"/>
    </row>
    <row r="1438" spans="1:21" ht="15.75" hidden="1" thickBot="1">
      <c r="A1438" s="123">
        <v>1362</v>
      </c>
      <c r="B1438" s="123"/>
      <c r="C1438" s="123"/>
      <c r="D1438" s="123"/>
      <c r="E1438" s="123"/>
      <c r="F1438" s="123"/>
      <c r="G1438" s="127" t="s">
        <v>331</v>
      </c>
      <c r="H1438" s="128">
        <v>2006</v>
      </c>
      <c r="I1438" s="128" t="s">
        <v>76</v>
      </c>
      <c r="J1438" s="128">
        <f t="shared" si="44"/>
        <v>2</v>
      </c>
      <c r="K1438" s="128" t="s">
        <v>342</v>
      </c>
      <c r="L1438" s="128" t="s">
        <v>30</v>
      </c>
      <c r="M1438" s="129" t="s">
        <v>31</v>
      </c>
      <c r="N1438" s="129" t="s">
        <v>32</v>
      </c>
      <c r="O1438" s="129" t="s">
        <v>28</v>
      </c>
      <c r="P1438" s="129" t="str">
        <f t="shared" si="45"/>
        <v>N/A</v>
      </c>
      <c r="Q1438" s="130"/>
      <c r="R1438" s="128">
        <v>63.6</v>
      </c>
      <c r="S1438" s="130"/>
      <c r="T1438" s="130"/>
      <c r="U1438" s="131"/>
    </row>
    <row r="1439" spans="1:21" ht="15.75" hidden="1" thickBot="1">
      <c r="A1439" s="123">
        <v>1363</v>
      </c>
      <c r="B1439" s="123"/>
      <c r="C1439" s="123"/>
      <c r="D1439" s="123"/>
      <c r="E1439" s="123"/>
      <c r="F1439" s="123"/>
      <c r="G1439" s="127" t="s">
        <v>331</v>
      </c>
      <c r="H1439" s="128">
        <v>2006</v>
      </c>
      <c r="I1439" s="128" t="s">
        <v>94</v>
      </c>
      <c r="J1439" s="128">
        <f t="shared" si="44"/>
        <v>3</v>
      </c>
      <c r="K1439" s="128" t="s">
        <v>2795</v>
      </c>
      <c r="L1439" s="128" t="s">
        <v>40</v>
      </c>
      <c r="M1439" s="129" t="s">
        <v>31</v>
      </c>
      <c r="N1439" s="129" t="s">
        <v>32</v>
      </c>
      <c r="O1439" s="129" t="s">
        <v>28</v>
      </c>
      <c r="P1439" s="129" t="str">
        <f t="shared" si="45"/>
        <v>N/A</v>
      </c>
      <c r="Q1439" s="130"/>
      <c r="R1439" s="128">
        <v>41.39</v>
      </c>
      <c r="S1439" s="128">
        <v>54.63</v>
      </c>
      <c r="T1439" s="130"/>
      <c r="U1439" s="131"/>
    </row>
    <row r="1440" spans="1:21" ht="15.75" hidden="1" thickBot="1">
      <c r="A1440" s="123">
        <v>1363</v>
      </c>
      <c r="B1440" s="123"/>
      <c r="C1440" s="123"/>
      <c r="D1440" s="123"/>
      <c r="E1440" s="123"/>
      <c r="F1440" s="123"/>
      <c r="G1440" s="127" t="s">
        <v>331</v>
      </c>
      <c r="H1440" s="128">
        <v>2006</v>
      </c>
      <c r="I1440" s="128" t="s">
        <v>94</v>
      </c>
      <c r="J1440" s="128">
        <f t="shared" si="44"/>
        <v>3</v>
      </c>
      <c r="K1440" s="128" t="s">
        <v>2796</v>
      </c>
      <c r="L1440" s="128" t="s">
        <v>30</v>
      </c>
      <c r="M1440" s="129" t="s">
        <v>31</v>
      </c>
      <c r="N1440" s="129" t="s">
        <v>28</v>
      </c>
      <c r="O1440" s="129" t="s">
        <v>28</v>
      </c>
      <c r="P1440" s="129" t="str">
        <f t="shared" si="45"/>
        <v>N/A</v>
      </c>
      <c r="Q1440" s="128" t="s">
        <v>2797</v>
      </c>
      <c r="R1440" s="128">
        <v>39.83</v>
      </c>
      <c r="S1440" s="128">
        <v>44.86</v>
      </c>
      <c r="T1440" s="130" t="s">
        <v>31</v>
      </c>
      <c r="U1440" s="131"/>
    </row>
    <row r="1441" spans="1:21" ht="15.75" hidden="1" thickBot="1">
      <c r="A1441" s="123">
        <v>1363</v>
      </c>
      <c r="B1441" s="123"/>
      <c r="C1441" s="123"/>
      <c r="D1441" s="123"/>
      <c r="E1441" s="123"/>
      <c r="F1441" s="123"/>
      <c r="G1441" s="127" t="s">
        <v>331</v>
      </c>
      <c r="H1441" s="128">
        <v>2006</v>
      </c>
      <c r="I1441" s="128" t="s">
        <v>94</v>
      </c>
      <c r="J1441" s="128">
        <f t="shared" si="44"/>
        <v>3</v>
      </c>
      <c r="K1441" s="128" t="s">
        <v>2798</v>
      </c>
      <c r="L1441" s="128" t="s">
        <v>30</v>
      </c>
      <c r="M1441" s="129" t="s">
        <v>31</v>
      </c>
      <c r="N1441" s="129" t="s">
        <v>28</v>
      </c>
      <c r="O1441" s="129" t="s">
        <v>28</v>
      </c>
      <c r="P1441" s="129" t="str">
        <f t="shared" si="45"/>
        <v>N/A</v>
      </c>
      <c r="Q1441" s="128" t="s">
        <v>2799</v>
      </c>
      <c r="R1441" s="128">
        <v>18.559999999999999</v>
      </c>
      <c r="S1441" s="130"/>
      <c r="T1441" s="130" t="s">
        <v>31</v>
      </c>
      <c r="U1441" s="131"/>
    </row>
    <row r="1442" spans="1:21" ht="15.75" hidden="1" thickBot="1">
      <c r="A1442" s="123">
        <v>1364</v>
      </c>
      <c r="B1442" s="123"/>
      <c r="C1442" s="123"/>
      <c r="D1442" s="123"/>
      <c r="E1442" s="123"/>
      <c r="F1442" s="123"/>
      <c r="G1442" s="127" t="s">
        <v>331</v>
      </c>
      <c r="H1442" s="128">
        <v>2006</v>
      </c>
      <c r="I1442" s="128" t="s">
        <v>97</v>
      </c>
      <c r="J1442" s="128">
        <f t="shared" si="44"/>
        <v>1</v>
      </c>
      <c r="K1442" s="128" t="s">
        <v>347</v>
      </c>
      <c r="L1442" s="128" t="s">
        <v>30</v>
      </c>
      <c r="M1442" s="129" t="s">
        <v>31</v>
      </c>
      <c r="N1442" s="129" t="s">
        <v>32</v>
      </c>
      <c r="O1442" s="129" t="s">
        <v>32</v>
      </c>
      <c r="P1442" s="129" t="str">
        <f t="shared" si="45"/>
        <v>Y</v>
      </c>
      <c r="Q1442" s="132" t="s">
        <v>2800</v>
      </c>
      <c r="R1442" s="128">
        <v>99.09</v>
      </c>
      <c r="S1442" s="130"/>
      <c r="T1442" s="130" t="s">
        <v>31</v>
      </c>
      <c r="U1442" s="131"/>
    </row>
    <row r="1443" spans="1:21" ht="15.75" hidden="1" thickBot="1">
      <c r="A1443" s="123">
        <v>1358</v>
      </c>
      <c r="B1443" s="123"/>
      <c r="C1443" s="123"/>
      <c r="D1443" s="123"/>
      <c r="E1443" s="123"/>
      <c r="F1443" s="123"/>
      <c r="G1443" s="127" t="s">
        <v>331</v>
      </c>
      <c r="H1443" s="128">
        <v>2008</v>
      </c>
      <c r="I1443" s="128" t="s">
        <v>91</v>
      </c>
      <c r="J1443" s="128">
        <f t="shared" si="44"/>
        <v>3</v>
      </c>
      <c r="K1443" s="128" t="s">
        <v>2801</v>
      </c>
      <c r="L1443" s="128" t="s">
        <v>30</v>
      </c>
      <c r="M1443" s="129" t="s">
        <v>31</v>
      </c>
      <c r="N1443" s="129" t="s">
        <v>28</v>
      </c>
      <c r="O1443" s="129" t="s">
        <v>28</v>
      </c>
      <c r="P1443" s="129" t="str">
        <f t="shared" si="45"/>
        <v>N/A</v>
      </c>
      <c r="Q1443" s="128" t="s">
        <v>2802</v>
      </c>
      <c r="R1443" s="128">
        <v>26.82</v>
      </c>
      <c r="S1443" s="130"/>
      <c r="T1443" s="130" t="s">
        <v>31</v>
      </c>
      <c r="U1443" s="131"/>
    </row>
    <row r="1444" spans="1:21" ht="15.75" hidden="1" thickBot="1">
      <c r="A1444" s="123">
        <v>1358</v>
      </c>
      <c r="B1444" s="123"/>
      <c r="C1444" s="123"/>
      <c r="D1444" s="123"/>
      <c r="E1444" s="123"/>
      <c r="F1444" s="123"/>
      <c r="G1444" s="127" t="s">
        <v>331</v>
      </c>
      <c r="H1444" s="128">
        <v>2008</v>
      </c>
      <c r="I1444" s="128" t="s">
        <v>91</v>
      </c>
      <c r="J1444" s="128">
        <f t="shared" si="44"/>
        <v>3</v>
      </c>
      <c r="K1444" s="128" t="s">
        <v>344</v>
      </c>
      <c r="L1444" s="128" t="s">
        <v>40</v>
      </c>
      <c r="M1444" s="129" t="s">
        <v>31</v>
      </c>
      <c r="N1444" s="129" t="s">
        <v>32</v>
      </c>
      <c r="O1444" s="129" t="s">
        <v>28</v>
      </c>
      <c r="P1444" s="129" t="str">
        <f t="shared" si="45"/>
        <v>N/A</v>
      </c>
      <c r="Q1444" s="128" t="s">
        <v>2803</v>
      </c>
      <c r="R1444" s="128">
        <v>41.52</v>
      </c>
      <c r="S1444" s="128">
        <v>56.59</v>
      </c>
      <c r="T1444" s="130" t="s">
        <v>31</v>
      </c>
      <c r="U1444" s="131"/>
    </row>
    <row r="1445" spans="1:21" ht="15.75" hidden="1" thickBot="1">
      <c r="A1445" s="123">
        <v>1358</v>
      </c>
      <c r="B1445" s="123"/>
      <c r="C1445" s="123"/>
      <c r="D1445" s="123"/>
      <c r="E1445" s="123"/>
      <c r="F1445" s="123"/>
      <c r="G1445" s="127" t="s">
        <v>331</v>
      </c>
      <c r="H1445" s="128">
        <v>2008</v>
      </c>
      <c r="I1445" s="128" t="s">
        <v>91</v>
      </c>
      <c r="J1445" s="128">
        <f t="shared" si="44"/>
        <v>3</v>
      </c>
      <c r="K1445" s="128" t="s">
        <v>338</v>
      </c>
      <c r="L1445" s="128" t="s">
        <v>40</v>
      </c>
      <c r="M1445" s="129" t="s">
        <v>201</v>
      </c>
      <c r="N1445" s="129" t="s">
        <v>28</v>
      </c>
      <c r="O1445" s="129" t="s">
        <v>28</v>
      </c>
      <c r="P1445" s="129" t="str">
        <f t="shared" si="45"/>
        <v>N/A</v>
      </c>
      <c r="Q1445" s="130"/>
      <c r="R1445" s="128">
        <v>31.12</v>
      </c>
      <c r="S1445" s="128">
        <v>42.61</v>
      </c>
      <c r="T1445" s="130"/>
      <c r="U1445" s="131"/>
    </row>
    <row r="1446" spans="1:21" ht="15.75" hidden="1" thickBot="1">
      <c r="A1446" s="123">
        <v>1359</v>
      </c>
      <c r="B1446" s="123"/>
      <c r="C1446" s="123"/>
      <c r="D1446" s="123"/>
      <c r="E1446" s="123"/>
      <c r="F1446" s="123"/>
      <c r="G1446" s="127" t="s">
        <v>331</v>
      </c>
      <c r="H1446" s="128">
        <v>2008</v>
      </c>
      <c r="I1446" s="128" t="s">
        <v>79</v>
      </c>
      <c r="J1446" s="128">
        <f t="shared" si="44"/>
        <v>3</v>
      </c>
      <c r="K1446" s="128" t="s">
        <v>351</v>
      </c>
      <c r="L1446" s="128" t="s">
        <v>40</v>
      </c>
      <c r="M1446" s="129" t="s">
        <v>31</v>
      </c>
      <c r="N1446" s="129" t="s">
        <v>32</v>
      </c>
      <c r="O1446" s="129" t="s">
        <v>32</v>
      </c>
      <c r="P1446" s="129" t="str">
        <f t="shared" si="45"/>
        <v>Y</v>
      </c>
      <c r="Q1446" s="130"/>
      <c r="R1446" s="128">
        <v>63.13</v>
      </c>
      <c r="S1446" s="130"/>
      <c r="T1446" s="130"/>
      <c r="U1446" s="131"/>
    </row>
    <row r="1447" spans="1:21" ht="15.75" hidden="1" thickBot="1">
      <c r="A1447" s="123">
        <v>1359</v>
      </c>
      <c r="B1447" s="123"/>
      <c r="C1447" s="123"/>
      <c r="D1447" s="123"/>
      <c r="E1447" s="123"/>
      <c r="F1447" s="123"/>
      <c r="G1447" s="127" t="s">
        <v>331</v>
      </c>
      <c r="H1447" s="128">
        <v>2008</v>
      </c>
      <c r="I1447" s="128" t="s">
        <v>79</v>
      </c>
      <c r="J1447" s="128">
        <f t="shared" si="44"/>
        <v>3</v>
      </c>
      <c r="K1447" s="128" t="s">
        <v>2778</v>
      </c>
      <c r="L1447" s="128" t="s">
        <v>30</v>
      </c>
      <c r="M1447" s="129" t="s">
        <v>31</v>
      </c>
      <c r="N1447" s="129" t="s">
        <v>28</v>
      </c>
      <c r="O1447" s="129" t="s">
        <v>28</v>
      </c>
      <c r="P1447" s="129" t="str">
        <f t="shared" si="45"/>
        <v>N/A</v>
      </c>
      <c r="Q1447" s="132" t="s">
        <v>2804</v>
      </c>
      <c r="R1447" s="128">
        <v>17.920000000000002</v>
      </c>
      <c r="S1447" s="130"/>
      <c r="T1447" s="130" t="s">
        <v>31</v>
      </c>
      <c r="U1447" s="131"/>
    </row>
    <row r="1448" spans="1:21" ht="15.75" hidden="1" thickBot="1">
      <c r="A1448" s="123">
        <v>1359</v>
      </c>
      <c r="B1448" s="123"/>
      <c r="C1448" s="123"/>
      <c r="D1448" s="123"/>
      <c r="E1448" s="123"/>
      <c r="F1448" s="123"/>
      <c r="G1448" s="127" t="s">
        <v>331</v>
      </c>
      <c r="H1448" s="128">
        <v>2008</v>
      </c>
      <c r="I1448" s="128" t="s">
        <v>79</v>
      </c>
      <c r="J1448" s="128">
        <f t="shared" si="44"/>
        <v>3</v>
      </c>
      <c r="K1448" s="128" t="s">
        <v>2805</v>
      </c>
      <c r="L1448" s="128" t="s">
        <v>30</v>
      </c>
      <c r="M1448" s="129" t="s">
        <v>1003</v>
      </c>
      <c r="N1448" s="129" t="s">
        <v>28</v>
      </c>
      <c r="O1448" s="129" t="s">
        <v>28</v>
      </c>
      <c r="P1448" s="129" t="str">
        <f t="shared" si="45"/>
        <v>N/A</v>
      </c>
      <c r="Q1448" s="130"/>
      <c r="R1448" s="128">
        <v>18.420000000000002</v>
      </c>
      <c r="S1448" s="130"/>
      <c r="T1448" s="130"/>
      <c r="U1448" s="131"/>
    </row>
    <row r="1449" spans="1:21" ht="15.75" hidden="1" thickBot="1">
      <c r="A1449" s="123">
        <v>1360</v>
      </c>
      <c r="B1449" s="123"/>
      <c r="C1449" s="123"/>
      <c r="D1449" s="123"/>
      <c r="E1449" s="123"/>
      <c r="F1449" s="123"/>
      <c r="G1449" s="127" t="s">
        <v>331</v>
      </c>
      <c r="H1449" s="128">
        <v>2008</v>
      </c>
      <c r="I1449" s="128" t="s">
        <v>100</v>
      </c>
      <c r="J1449" s="128">
        <f t="shared" si="44"/>
        <v>5</v>
      </c>
      <c r="K1449" s="128" t="s">
        <v>2806</v>
      </c>
      <c r="L1449" s="128" t="s">
        <v>40</v>
      </c>
      <c r="M1449" s="129" t="s">
        <v>201</v>
      </c>
      <c r="N1449" s="129" t="s">
        <v>28</v>
      </c>
      <c r="O1449" s="129" t="s">
        <v>28</v>
      </c>
      <c r="P1449" s="129" t="str">
        <f t="shared" si="45"/>
        <v>N/A</v>
      </c>
      <c r="Q1449" s="128" t="s">
        <v>2807</v>
      </c>
      <c r="R1449" s="128">
        <v>17.77</v>
      </c>
      <c r="S1449" s="130"/>
      <c r="T1449" s="130" t="s">
        <v>998</v>
      </c>
      <c r="U1449" s="131"/>
    </row>
    <row r="1450" spans="1:21" ht="15.75" hidden="1" thickBot="1">
      <c r="A1450" s="123">
        <v>1360</v>
      </c>
      <c r="B1450" s="123"/>
      <c r="C1450" s="123"/>
      <c r="D1450" s="123"/>
      <c r="E1450" s="123"/>
      <c r="F1450" s="123"/>
      <c r="G1450" s="127" t="s">
        <v>331</v>
      </c>
      <c r="H1450" s="128">
        <v>2008</v>
      </c>
      <c r="I1450" s="128" t="s">
        <v>100</v>
      </c>
      <c r="J1450" s="128">
        <f t="shared" si="44"/>
        <v>5</v>
      </c>
      <c r="K1450" s="128" t="s">
        <v>2808</v>
      </c>
      <c r="L1450" s="128" t="s">
        <v>30</v>
      </c>
      <c r="M1450" s="129" t="s">
        <v>34</v>
      </c>
      <c r="N1450" s="129" t="s">
        <v>28</v>
      </c>
      <c r="O1450" s="129" t="s">
        <v>28</v>
      </c>
      <c r="P1450" s="129" t="str">
        <f t="shared" si="45"/>
        <v>N/A</v>
      </c>
      <c r="Q1450" s="132" t="s">
        <v>2809</v>
      </c>
      <c r="R1450" s="128">
        <v>8.48</v>
      </c>
      <c r="S1450" s="130"/>
      <c r="T1450" s="130" t="s">
        <v>1015</v>
      </c>
      <c r="U1450" s="131"/>
    </row>
    <row r="1451" spans="1:21" ht="15.75" hidden="1" thickBot="1">
      <c r="A1451" s="123">
        <v>1360</v>
      </c>
      <c r="B1451" s="123"/>
      <c r="C1451" s="123"/>
      <c r="D1451" s="123"/>
      <c r="E1451" s="123"/>
      <c r="F1451" s="123"/>
      <c r="G1451" s="127" t="s">
        <v>331</v>
      </c>
      <c r="H1451" s="128">
        <v>2008</v>
      </c>
      <c r="I1451" s="128" t="s">
        <v>100</v>
      </c>
      <c r="J1451" s="128">
        <f t="shared" si="44"/>
        <v>5</v>
      </c>
      <c r="K1451" s="128" t="s">
        <v>340</v>
      </c>
      <c r="L1451" s="128" t="s">
        <v>30</v>
      </c>
      <c r="M1451" s="129" t="s">
        <v>31</v>
      </c>
      <c r="N1451" s="129" t="s">
        <v>32</v>
      </c>
      <c r="O1451" s="129" t="s">
        <v>32</v>
      </c>
      <c r="P1451" s="129" t="str">
        <f t="shared" si="45"/>
        <v>Y</v>
      </c>
      <c r="Q1451" s="130"/>
      <c r="R1451" s="128">
        <v>57.49</v>
      </c>
      <c r="S1451" s="130"/>
      <c r="T1451" s="130"/>
      <c r="U1451" s="131"/>
    </row>
    <row r="1452" spans="1:21" ht="15.75" hidden="1" thickBot="1">
      <c r="A1452" s="123">
        <v>1360</v>
      </c>
      <c r="B1452" s="123"/>
      <c r="C1452" s="123"/>
      <c r="D1452" s="123"/>
      <c r="E1452" s="123"/>
      <c r="F1452" s="123"/>
      <c r="G1452" s="127" t="s">
        <v>331</v>
      </c>
      <c r="H1452" s="128">
        <v>2008</v>
      </c>
      <c r="I1452" s="128" t="s">
        <v>100</v>
      </c>
      <c r="J1452" s="128">
        <f t="shared" si="44"/>
        <v>5</v>
      </c>
      <c r="K1452" s="128" t="s">
        <v>2781</v>
      </c>
      <c r="L1452" s="128" t="s">
        <v>30</v>
      </c>
      <c r="M1452" s="129" t="s">
        <v>31</v>
      </c>
      <c r="N1452" s="129" t="s">
        <v>28</v>
      </c>
      <c r="O1452" s="129" t="s">
        <v>28</v>
      </c>
      <c r="P1452" s="129" t="str">
        <f t="shared" si="45"/>
        <v>N/A</v>
      </c>
      <c r="Q1452" s="132" t="s">
        <v>2810</v>
      </c>
      <c r="R1452" s="128">
        <v>9.25</v>
      </c>
      <c r="S1452" s="130"/>
      <c r="T1452" s="130" t="s">
        <v>31</v>
      </c>
      <c r="U1452" s="131"/>
    </row>
    <row r="1453" spans="1:21" ht="15.75" hidden="1" thickBot="1">
      <c r="A1453" s="123">
        <v>1360</v>
      </c>
      <c r="B1453" s="123"/>
      <c r="C1453" s="123"/>
      <c r="D1453" s="123"/>
      <c r="E1453" s="123"/>
      <c r="F1453" s="123"/>
      <c r="G1453" s="127" t="s">
        <v>331</v>
      </c>
      <c r="H1453" s="128">
        <v>2008</v>
      </c>
      <c r="I1453" s="128" t="s">
        <v>100</v>
      </c>
      <c r="J1453" s="128">
        <f t="shared" si="44"/>
        <v>5</v>
      </c>
      <c r="K1453" s="128" t="s">
        <v>2790</v>
      </c>
      <c r="L1453" s="128" t="s">
        <v>40</v>
      </c>
      <c r="M1453" s="129" t="s">
        <v>1013</v>
      </c>
      <c r="N1453" s="129" t="s">
        <v>28</v>
      </c>
      <c r="O1453" s="129" t="s">
        <v>28</v>
      </c>
      <c r="P1453" s="129" t="str">
        <f t="shared" si="45"/>
        <v>N/A</v>
      </c>
      <c r="Q1453" s="128" t="s">
        <v>2811</v>
      </c>
      <c r="R1453" s="128">
        <v>6.5</v>
      </c>
      <c r="S1453" s="130"/>
      <c r="T1453" s="130" t="s">
        <v>1015</v>
      </c>
      <c r="U1453" s="131"/>
    </row>
    <row r="1454" spans="1:21" ht="15.75" thickBot="1">
      <c r="A1454" s="123">
        <v>1354</v>
      </c>
      <c r="B1454" s="123"/>
      <c r="C1454" s="123"/>
      <c r="D1454" s="123"/>
      <c r="E1454" s="123"/>
      <c r="F1454" s="123"/>
      <c r="G1454" s="127" t="s">
        <v>331</v>
      </c>
      <c r="H1454" s="128">
        <v>2010</v>
      </c>
      <c r="I1454" s="128" t="s">
        <v>38</v>
      </c>
      <c r="J1454" s="128">
        <f t="shared" si="44"/>
        <v>6</v>
      </c>
      <c r="K1454" s="128" t="s">
        <v>346</v>
      </c>
      <c r="L1454" s="128" t="s">
        <v>30</v>
      </c>
      <c r="M1454" s="129" t="s">
        <v>31</v>
      </c>
      <c r="N1454" s="129" t="s">
        <v>28</v>
      </c>
      <c r="O1454" s="129" t="s">
        <v>32</v>
      </c>
      <c r="P1454" s="129" t="str">
        <f t="shared" si="45"/>
        <v>N</v>
      </c>
      <c r="Q1454" s="132" t="s">
        <v>2812</v>
      </c>
      <c r="R1454" s="128">
        <v>35.479999999999997</v>
      </c>
      <c r="S1454" s="128">
        <v>49.43</v>
      </c>
      <c r="T1454" s="130" t="s">
        <v>31</v>
      </c>
      <c r="U1454" s="131"/>
    </row>
    <row r="1455" spans="1:21" ht="15.75" hidden="1" thickBot="1">
      <c r="A1455" s="123">
        <v>1354</v>
      </c>
      <c r="B1455" s="123"/>
      <c r="C1455" s="123"/>
      <c r="D1455" s="123"/>
      <c r="E1455" s="123"/>
      <c r="F1455" s="123"/>
      <c r="G1455" s="127" t="s">
        <v>331</v>
      </c>
      <c r="H1455" s="128">
        <v>2010</v>
      </c>
      <c r="I1455" s="128" t="s">
        <v>38</v>
      </c>
      <c r="J1455" s="128">
        <f t="shared" si="44"/>
        <v>6</v>
      </c>
      <c r="K1455" s="128" t="s">
        <v>2813</v>
      </c>
      <c r="L1455" s="128" t="s">
        <v>30</v>
      </c>
      <c r="M1455" s="129" t="s">
        <v>34</v>
      </c>
      <c r="N1455" s="129" t="s">
        <v>28</v>
      </c>
      <c r="O1455" s="129" t="s">
        <v>28</v>
      </c>
      <c r="P1455" s="129" t="str">
        <f t="shared" si="45"/>
        <v>N/A</v>
      </c>
      <c r="Q1455" s="128" t="s">
        <v>2814</v>
      </c>
      <c r="R1455" s="128">
        <v>1.73</v>
      </c>
      <c r="S1455" s="130"/>
      <c r="T1455" s="130" t="s">
        <v>2815</v>
      </c>
      <c r="U1455" s="131"/>
    </row>
    <row r="1456" spans="1:21" ht="15.75" hidden="1" thickBot="1">
      <c r="A1456" s="123">
        <v>1354</v>
      </c>
      <c r="B1456" s="123"/>
      <c r="C1456" s="123"/>
      <c r="D1456" s="123"/>
      <c r="E1456" s="123"/>
      <c r="F1456" s="123"/>
      <c r="G1456" s="127" t="s">
        <v>331</v>
      </c>
      <c r="H1456" s="128">
        <v>2010</v>
      </c>
      <c r="I1456" s="128" t="s">
        <v>38</v>
      </c>
      <c r="J1456" s="128">
        <f t="shared" si="44"/>
        <v>6</v>
      </c>
      <c r="K1456" s="128" t="s">
        <v>351</v>
      </c>
      <c r="L1456" s="128" t="s">
        <v>40</v>
      </c>
      <c r="M1456" s="129" t="s">
        <v>31</v>
      </c>
      <c r="N1456" s="129" t="s">
        <v>28</v>
      </c>
      <c r="O1456" s="129" t="s">
        <v>28</v>
      </c>
      <c r="P1456" s="129" t="str">
        <f t="shared" si="45"/>
        <v>N/A</v>
      </c>
      <c r="Q1456" s="132" t="s">
        <v>2816</v>
      </c>
      <c r="R1456" s="128">
        <v>23.16</v>
      </c>
      <c r="S1456" s="130"/>
      <c r="T1456" s="130" t="s">
        <v>31</v>
      </c>
      <c r="U1456" s="131"/>
    </row>
    <row r="1457" spans="1:21" ht="15.75" hidden="1" thickBot="1">
      <c r="A1457" s="123">
        <v>1354</v>
      </c>
      <c r="B1457" s="123"/>
      <c r="C1457" s="123"/>
      <c r="D1457" s="123"/>
      <c r="E1457" s="123"/>
      <c r="F1457" s="123"/>
      <c r="G1457" s="127" t="s">
        <v>331</v>
      </c>
      <c r="H1457" s="128">
        <v>2010</v>
      </c>
      <c r="I1457" s="128" t="s">
        <v>38</v>
      </c>
      <c r="J1457" s="128">
        <f t="shared" si="44"/>
        <v>6</v>
      </c>
      <c r="K1457" s="128" t="s">
        <v>2778</v>
      </c>
      <c r="L1457" s="128" t="s">
        <v>30</v>
      </c>
      <c r="M1457" s="129" t="s">
        <v>31</v>
      </c>
      <c r="N1457" s="129" t="s">
        <v>28</v>
      </c>
      <c r="O1457" s="129" t="s">
        <v>28</v>
      </c>
      <c r="P1457" s="129" t="str">
        <f t="shared" si="45"/>
        <v>N/A</v>
      </c>
      <c r="Q1457" s="128" t="s">
        <v>2817</v>
      </c>
      <c r="R1457" s="128">
        <v>0.04</v>
      </c>
      <c r="S1457" s="130"/>
      <c r="T1457" s="130" t="s">
        <v>31</v>
      </c>
      <c r="U1457" s="131"/>
    </row>
    <row r="1458" spans="1:21" ht="15.75" hidden="1" thickBot="1">
      <c r="A1458" s="123">
        <v>1354</v>
      </c>
      <c r="B1458" s="123"/>
      <c r="C1458" s="123"/>
      <c r="D1458" s="123"/>
      <c r="E1458" s="123"/>
      <c r="F1458" s="123"/>
      <c r="G1458" s="127" t="s">
        <v>331</v>
      </c>
      <c r="H1458" s="128">
        <v>2010</v>
      </c>
      <c r="I1458" s="128" t="s">
        <v>38</v>
      </c>
      <c r="J1458" s="128">
        <f t="shared" si="44"/>
        <v>6</v>
      </c>
      <c r="K1458" s="128" t="s">
        <v>2818</v>
      </c>
      <c r="L1458" s="128" t="s">
        <v>40</v>
      </c>
      <c r="M1458" s="129" t="s">
        <v>31</v>
      </c>
      <c r="N1458" s="129" t="s">
        <v>28</v>
      </c>
      <c r="O1458" s="129" t="s">
        <v>28</v>
      </c>
      <c r="P1458" s="129" t="str">
        <f t="shared" si="45"/>
        <v>N/A</v>
      </c>
      <c r="Q1458" s="128" t="s">
        <v>2819</v>
      </c>
      <c r="R1458" s="128">
        <v>4.09</v>
      </c>
      <c r="S1458" s="130"/>
      <c r="T1458" s="130" t="s">
        <v>31</v>
      </c>
      <c r="U1458" s="131"/>
    </row>
    <row r="1459" spans="1:21" ht="15.75" hidden="1" thickBot="1">
      <c r="A1459" s="123">
        <v>1354</v>
      </c>
      <c r="B1459" s="123"/>
      <c r="C1459" s="123"/>
      <c r="D1459" s="123"/>
      <c r="E1459" s="123"/>
      <c r="F1459" s="123"/>
      <c r="G1459" s="127" t="s">
        <v>331</v>
      </c>
      <c r="H1459" s="128">
        <v>2010</v>
      </c>
      <c r="I1459" s="128" t="s">
        <v>38</v>
      </c>
      <c r="J1459" s="128">
        <f t="shared" si="44"/>
        <v>6</v>
      </c>
      <c r="K1459" s="128" t="s">
        <v>341</v>
      </c>
      <c r="L1459" s="128" t="s">
        <v>30</v>
      </c>
      <c r="M1459" s="129" t="s">
        <v>31</v>
      </c>
      <c r="N1459" s="129" t="s">
        <v>32</v>
      </c>
      <c r="O1459" s="129" t="s">
        <v>28</v>
      </c>
      <c r="P1459" s="129" t="str">
        <f t="shared" si="45"/>
        <v>N/A</v>
      </c>
      <c r="Q1459" s="128" t="s">
        <v>2820</v>
      </c>
      <c r="R1459" s="128">
        <v>35.21</v>
      </c>
      <c r="S1459" s="128">
        <v>50.57</v>
      </c>
      <c r="T1459" s="130" t="s">
        <v>31</v>
      </c>
      <c r="U1459" s="131"/>
    </row>
    <row r="1460" spans="1:21" ht="15.75" hidden="1" thickBot="1">
      <c r="A1460" s="123">
        <v>1355</v>
      </c>
      <c r="B1460" s="123"/>
      <c r="C1460" s="123"/>
      <c r="D1460" s="123"/>
      <c r="E1460" s="123"/>
      <c r="F1460" s="123"/>
      <c r="G1460" s="127" t="s">
        <v>331</v>
      </c>
      <c r="H1460" s="128">
        <v>2010</v>
      </c>
      <c r="I1460" s="128" t="s">
        <v>76</v>
      </c>
      <c r="J1460" s="128">
        <f t="shared" si="44"/>
        <v>3</v>
      </c>
      <c r="K1460" s="128" t="s">
        <v>2821</v>
      </c>
      <c r="L1460" s="128" t="s">
        <v>40</v>
      </c>
      <c r="M1460" s="129" t="s">
        <v>1003</v>
      </c>
      <c r="N1460" s="129" t="s">
        <v>28</v>
      </c>
      <c r="O1460" s="129" t="s">
        <v>28</v>
      </c>
      <c r="P1460" s="129" t="str">
        <f t="shared" si="45"/>
        <v>N/A</v>
      </c>
      <c r="Q1460" s="128" t="s">
        <v>1004</v>
      </c>
      <c r="R1460" s="128">
        <v>0.6</v>
      </c>
      <c r="S1460" s="130"/>
      <c r="T1460" s="130"/>
      <c r="U1460" s="131"/>
    </row>
    <row r="1461" spans="1:21" ht="15.75" hidden="1" thickBot="1">
      <c r="A1461" s="123">
        <v>1355</v>
      </c>
      <c r="B1461" s="123"/>
      <c r="C1461" s="123"/>
      <c r="D1461" s="123"/>
      <c r="E1461" s="123"/>
      <c r="F1461" s="123"/>
      <c r="G1461" s="127" t="s">
        <v>331</v>
      </c>
      <c r="H1461" s="128">
        <v>2010</v>
      </c>
      <c r="I1461" s="128" t="s">
        <v>76</v>
      </c>
      <c r="J1461" s="128">
        <f t="shared" si="44"/>
        <v>3</v>
      </c>
      <c r="K1461" s="128" t="s">
        <v>1340</v>
      </c>
      <c r="L1461" s="128" t="s">
        <v>30</v>
      </c>
      <c r="M1461" s="129" t="s">
        <v>201</v>
      </c>
      <c r="N1461" s="129" t="s">
        <v>28</v>
      </c>
      <c r="O1461" s="129" t="s">
        <v>28</v>
      </c>
      <c r="P1461" s="129" t="str">
        <f t="shared" si="45"/>
        <v>N/A</v>
      </c>
      <c r="Q1461" s="132" t="s">
        <v>2822</v>
      </c>
      <c r="R1461" s="128">
        <v>33.6</v>
      </c>
      <c r="S1461" s="130"/>
      <c r="T1461" s="130" t="s">
        <v>998</v>
      </c>
      <c r="U1461" s="131"/>
    </row>
    <row r="1462" spans="1:21" ht="15.75" hidden="1" thickBot="1">
      <c r="A1462" s="123">
        <v>1355</v>
      </c>
      <c r="B1462" s="123"/>
      <c r="C1462" s="123"/>
      <c r="D1462" s="123"/>
      <c r="E1462" s="123"/>
      <c r="F1462" s="123"/>
      <c r="G1462" s="127" t="s">
        <v>331</v>
      </c>
      <c r="H1462" s="128">
        <v>2010</v>
      </c>
      <c r="I1462" s="128" t="s">
        <v>76</v>
      </c>
      <c r="J1462" s="128">
        <f t="shared" si="44"/>
        <v>3</v>
      </c>
      <c r="K1462" s="128" t="s">
        <v>342</v>
      </c>
      <c r="L1462" s="128" t="s">
        <v>30</v>
      </c>
      <c r="M1462" s="129" t="s">
        <v>31</v>
      </c>
      <c r="N1462" s="129" t="s">
        <v>32</v>
      </c>
      <c r="O1462" s="129" t="s">
        <v>32</v>
      </c>
      <c r="P1462" s="129" t="str">
        <f t="shared" si="45"/>
        <v>Y</v>
      </c>
      <c r="Q1462" s="132" t="s">
        <v>2823</v>
      </c>
      <c r="R1462" s="128">
        <v>65.05</v>
      </c>
      <c r="S1462" s="130"/>
      <c r="T1462" s="130" t="s">
        <v>31</v>
      </c>
      <c r="U1462" s="131"/>
    </row>
    <row r="1463" spans="1:21" ht="15.75" hidden="1" thickBot="1">
      <c r="A1463" s="123">
        <v>1356</v>
      </c>
      <c r="B1463" s="123"/>
      <c r="C1463" s="123"/>
      <c r="D1463" s="123"/>
      <c r="E1463" s="123"/>
      <c r="F1463" s="123"/>
      <c r="G1463" s="127" t="s">
        <v>331</v>
      </c>
      <c r="H1463" s="128">
        <v>2010</v>
      </c>
      <c r="I1463" s="128" t="s">
        <v>94</v>
      </c>
      <c r="J1463" s="128">
        <f t="shared" si="44"/>
        <v>1</v>
      </c>
      <c r="K1463" s="128" t="s">
        <v>2795</v>
      </c>
      <c r="L1463" s="128" t="s">
        <v>40</v>
      </c>
      <c r="M1463" s="129" t="s">
        <v>1003</v>
      </c>
      <c r="N1463" s="129" t="s">
        <v>32</v>
      </c>
      <c r="O1463" s="129" t="s">
        <v>32</v>
      </c>
      <c r="P1463" s="129" t="str">
        <f t="shared" si="45"/>
        <v>Y</v>
      </c>
      <c r="Q1463" s="130"/>
      <c r="R1463" s="128">
        <v>97.2</v>
      </c>
      <c r="S1463" s="130"/>
      <c r="T1463" s="130"/>
      <c r="U1463" s="131"/>
    </row>
    <row r="1464" spans="1:21" ht="15.75" hidden="1" thickBot="1">
      <c r="A1464" s="123">
        <v>1357</v>
      </c>
      <c r="B1464" s="123"/>
      <c r="C1464" s="123"/>
      <c r="D1464" s="123"/>
      <c r="E1464" s="123"/>
      <c r="F1464" s="123"/>
      <c r="G1464" s="127" t="s">
        <v>331</v>
      </c>
      <c r="H1464" s="128">
        <v>2010</v>
      </c>
      <c r="I1464" s="128" t="s">
        <v>97</v>
      </c>
      <c r="J1464" s="128">
        <f t="shared" si="44"/>
        <v>2</v>
      </c>
      <c r="K1464" s="128" t="s">
        <v>337</v>
      </c>
      <c r="L1464" s="128" t="s">
        <v>40</v>
      </c>
      <c r="M1464" s="129" t="s">
        <v>1065</v>
      </c>
      <c r="N1464" s="129" t="s">
        <v>28</v>
      </c>
      <c r="O1464" s="129" t="s">
        <v>28</v>
      </c>
      <c r="P1464" s="129" t="str">
        <f t="shared" si="45"/>
        <v>N/A</v>
      </c>
      <c r="Q1464" s="130"/>
      <c r="R1464" s="128">
        <v>45.74</v>
      </c>
      <c r="S1464" s="130"/>
      <c r="T1464" s="130"/>
      <c r="U1464" s="131"/>
    </row>
    <row r="1465" spans="1:21" ht="15.75" hidden="1" thickBot="1">
      <c r="A1465" s="123">
        <v>1357</v>
      </c>
      <c r="B1465" s="123"/>
      <c r="C1465" s="123"/>
      <c r="D1465" s="123"/>
      <c r="E1465" s="123"/>
      <c r="F1465" s="123"/>
      <c r="G1465" s="127" t="s">
        <v>331</v>
      </c>
      <c r="H1465" s="128">
        <v>2010</v>
      </c>
      <c r="I1465" s="128" t="s">
        <v>97</v>
      </c>
      <c r="J1465" s="128">
        <f t="shared" si="44"/>
        <v>2</v>
      </c>
      <c r="K1465" s="128" t="s">
        <v>333</v>
      </c>
      <c r="L1465" s="128" t="s">
        <v>40</v>
      </c>
      <c r="M1465" s="129" t="s">
        <v>31</v>
      </c>
      <c r="N1465" s="129" t="s">
        <v>32</v>
      </c>
      <c r="O1465" s="129" t="s">
        <v>28</v>
      </c>
      <c r="P1465" s="129" t="str">
        <f t="shared" si="45"/>
        <v>N/A</v>
      </c>
      <c r="Q1465" s="130"/>
      <c r="R1465" s="128">
        <v>53.21</v>
      </c>
      <c r="S1465" s="130"/>
      <c r="T1465" s="130"/>
      <c r="U1465" s="131"/>
    </row>
    <row r="1466" spans="1:21" ht="15.75" hidden="1" thickBot="1">
      <c r="A1466" s="123">
        <v>1351</v>
      </c>
      <c r="B1466" s="123"/>
      <c r="C1466" s="123"/>
      <c r="D1466" s="123"/>
      <c r="E1466" s="123"/>
      <c r="F1466" s="123"/>
      <c r="G1466" s="127" t="s">
        <v>331</v>
      </c>
      <c r="H1466" s="128">
        <v>2012</v>
      </c>
      <c r="I1466" s="128" t="s">
        <v>91</v>
      </c>
      <c r="J1466" s="128">
        <f t="shared" si="44"/>
        <v>3</v>
      </c>
      <c r="K1466" s="128" t="s">
        <v>2824</v>
      </c>
      <c r="L1466" s="128" t="s">
        <v>30</v>
      </c>
      <c r="M1466" s="129" t="s">
        <v>31</v>
      </c>
      <c r="N1466" s="129" t="s">
        <v>28</v>
      </c>
      <c r="O1466" s="129" t="s">
        <v>28</v>
      </c>
      <c r="P1466" s="129" t="str">
        <f t="shared" si="45"/>
        <v>N/A</v>
      </c>
      <c r="Q1466" s="132" t="s">
        <v>2825</v>
      </c>
      <c r="R1466" s="128">
        <v>18.95</v>
      </c>
      <c r="S1466" s="130"/>
      <c r="T1466" s="130" t="s">
        <v>31</v>
      </c>
      <c r="U1466" s="131"/>
    </row>
    <row r="1467" spans="1:21" ht="15.75" hidden="1" thickBot="1">
      <c r="A1467" s="123">
        <v>1351</v>
      </c>
      <c r="B1467" s="123"/>
      <c r="C1467" s="123"/>
      <c r="D1467" s="123"/>
      <c r="E1467" s="123"/>
      <c r="F1467" s="123"/>
      <c r="G1467" s="127" t="s">
        <v>331</v>
      </c>
      <c r="H1467" s="128">
        <v>2012</v>
      </c>
      <c r="I1467" s="128" t="s">
        <v>91</v>
      </c>
      <c r="J1467" s="128">
        <f t="shared" si="44"/>
        <v>3</v>
      </c>
      <c r="K1467" s="128" t="s">
        <v>2826</v>
      </c>
      <c r="L1467" s="128" t="s">
        <v>40</v>
      </c>
      <c r="M1467" s="129" t="s">
        <v>31</v>
      </c>
      <c r="N1467" s="129" t="s">
        <v>28</v>
      </c>
      <c r="O1467" s="129" t="s">
        <v>28</v>
      </c>
      <c r="P1467" s="129" t="str">
        <f t="shared" si="45"/>
        <v>N/A</v>
      </c>
      <c r="Q1467" s="128" t="s">
        <v>2827</v>
      </c>
      <c r="R1467" s="128">
        <v>38.020000000000003</v>
      </c>
      <c r="S1467" s="128">
        <v>49.61</v>
      </c>
      <c r="T1467" s="130" t="s">
        <v>31</v>
      </c>
      <c r="U1467" s="131"/>
    </row>
    <row r="1468" spans="1:21" ht="15.75" hidden="1" thickBot="1">
      <c r="A1468" s="123">
        <v>1351</v>
      </c>
      <c r="B1468" s="123"/>
      <c r="C1468" s="123"/>
      <c r="D1468" s="123"/>
      <c r="E1468" s="123"/>
      <c r="F1468" s="123"/>
      <c r="G1468" s="127" t="s">
        <v>331</v>
      </c>
      <c r="H1468" s="128">
        <v>2012</v>
      </c>
      <c r="I1468" s="128" t="s">
        <v>91</v>
      </c>
      <c r="J1468" s="128">
        <f t="shared" si="44"/>
        <v>3</v>
      </c>
      <c r="K1468" s="128" t="s">
        <v>338</v>
      </c>
      <c r="L1468" s="128" t="s">
        <v>40</v>
      </c>
      <c r="M1468" s="129" t="s">
        <v>201</v>
      </c>
      <c r="N1468" s="129" t="s">
        <v>32</v>
      </c>
      <c r="O1468" s="129" t="s">
        <v>32</v>
      </c>
      <c r="P1468" s="129" t="str">
        <f t="shared" si="45"/>
        <v>Y</v>
      </c>
      <c r="Q1468" s="132" t="s">
        <v>2828</v>
      </c>
      <c r="R1468" s="128">
        <v>42.19</v>
      </c>
      <c r="S1468" s="128">
        <v>50.39</v>
      </c>
      <c r="T1468" s="130" t="s">
        <v>1202</v>
      </c>
      <c r="U1468" s="131"/>
    </row>
    <row r="1469" spans="1:21" ht="15.75" hidden="1" thickBot="1">
      <c r="A1469" s="123">
        <v>1352</v>
      </c>
      <c r="B1469" s="123"/>
      <c r="C1469" s="123"/>
      <c r="D1469" s="123"/>
      <c r="E1469" s="123"/>
      <c r="F1469" s="123"/>
      <c r="G1469" s="127" t="s">
        <v>331</v>
      </c>
      <c r="H1469" s="128">
        <v>2012</v>
      </c>
      <c r="I1469" s="128" t="s">
        <v>79</v>
      </c>
      <c r="J1469" s="128">
        <f t="shared" si="44"/>
        <v>4</v>
      </c>
      <c r="K1469" s="128" t="s">
        <v>339</v>
      </c>
      <c r="L1469" s="128" t="s">
        <v>30</v>
      </c>
      <c r="M1469" s="129" t="s">
        <v>34</v>
      </c>
      <c r="N1469" s="129" t="s">
        <v>32</v>
      </c>
      <c r="O1469" s="129" t="s">
        <v>28</v>
      </c>
      <c r="P1469" s="129" t="str">
        <f t="shared" si="45"/>
        <v>N/A</v>
      </c>
      <c r="Q1469" s="132" t="s">
        <v>2829</v>
      </c>
      <c r="R1469" s="128">
        <v>44.15</v>
      </c>
      <c r="S1469" s="128">
        <v>60.99</v>
      </c>
      <c r="T1469" s="130" t="s">
        <v>998</v>
      </c>
      <c r="U1469" s="131"/>
    </row>
    <row r="1470" spans="1:21" ht="15.75" hidden="1" thickBot="1">
      <c r="A1470" s="123">
        <v>1352</v>
      </c>
      <c r="B1470" s="123"/>
      <c r="C1470" s="123"/>
      <c r="D1470" s="123"/>
      <c r="E1470" s="123"/>
      <c r="F1470" s="123"/>
      <c r="G1470" s="127" t="s">
        <v>331</v>
      </c>
      <c r="H1470" s="128">
        <v>2012</v>
      </c>
      <c r="I1470" s="128" t="s">
        <v>79</v>
      </c>
      <c r="J1470" s="128">
        <f t="shared" si="44"/>
        <v>4</v>
      </c>
      <c r="K1470" s="128" t="s">
        <v>2830</v>
      </c>
      <c r="L1470" s="128" t="s">
        <v>30</v>
      </c>
      <c r="M1470" s="129" t="s">
        <v>31</v>
      </c>
      <c r="N1470" s="129" t="s">
        <v>28</v>
      </c>
      <c r="O1470" s="129" t="s">
        <v>28</v>
      </c>
      <c r="P1470" s="129" t="str">
        <f t="shared" si="45"/>
        <v>N/A</v>
      </c>
      <c r="Q1470" s="128" t="s">
        <v>2831</v>
      </c>
      <c r="R1470" s="128">
        <v>24.44</v>
      </c>
      <c r="S1470" s="128">
        <v>39.01</v>
      </c>
      <c r="T1470" s="130" t="s">
        <v>31</v>
      </c>
      <c r="U1470" s="131"/>
    </row>
    <row r="1471" spans="1:21" ht="15.75" hidden="1" thickBot="1">
      <c r="A1471" s="123">
        <v>1352</v>
      </c>
      <c r="B1471" s="123"/>
      <c r="C1471" s="123"/>
      <c r="D1471" s="123"/>
      <c r="E1471" s="123"/>
      <c r="F1471" s="123"/>
      <c r="G1471" s="127" t="s">
        <v>331</v>
      </c>
      <c r="H1471" s="128">
        <v>2012</v>
      </c>
      <c r="I1471" s="128" t="s">
        <v>79</v>
      </c>
      <c r="J1471" s="128">
        <f t="shared" si="44"/>
        <v>4</v>
      </c>
      <c r="K1471" s="128" t="s">
        <v>2832</v>
      </c>
      <c r="L1471" s="128" t="s">
        <v>40</v>
      </c>
      <c r="M1471" s="129" t="s">
        <v>201</v>
      </c>
      <c r="N1471" s="129" t="s">
        <v>28</v>
      </c>
      <c r="O1471" s="129" t="s">
        <v>28</v>
      </c>
      <c r="P1471" s="129" t="str">
        <f t="shared" si="45"/>
        <v>N/A</v>
      </c>
      <c r="Q1471" s="128" t="s">
        <v>2833</v>
      </c>
      <c r="R1471" s="128">
        <v>19.97</v>
      </c>
      <c r="S1471" s="130"/>
      <c r="T1471" s="130" t="s">
        <v>998</v>
      </c>
      <c r="U1471" s="131"/>
    </row>
    <row r="1472" spans="1:21" ht="15.75" hidden="1" thickBot="1">
      <c r="A1472" s="123">
        <v>1352</v>
      </c>
      <c r="B1472" s="123"/>
      <c r="C1472" s="123"/>
      <c r="D1472" s="123"/>
      <c r="E1472" s="123"/>
      <c r="F1472" s="123"/>
      <c r="G1472" s="127" t="s">
        <v>331</v>
      </c>
      <c r="H1472" s="128">
        <v>2012</v>
      </c>
      <c r="I1472" s="128" t="s">
        <v>79</v>
      </c>
      <c r="J1472" s="128">
        <f t="shared" si="44"/>
        <v>4</v>
      </c>
      <c r="K1472" s="128" t="s">
        <v>2834</v>
      </c>
      <c r="L1472" s="128" t="s">
        <v>30</v>
      </c>
      <c r="M1472" s="129" t="s">
        <v>31</v>
      </c>
      <c r="N1472" s="129" t="s">
        <v>28</v>
      </c>
      <c r="O1472" s="129" t="s">
        <v>28</v>
      </c>
      <c r="P1472" s="129" t="str">
        <f t="shared" si="45"/>
        <v>N/A</v>
      </c>
      <c r="Q1472" s="128" t="s">
        <v>2835</v>
      </c>
      <c r="R1472" s="128">
        <v>10.46</v>
      </c>
      <c r="S1472" s="130"/>
      <c r="T1472" s="130" t="s">
        <v>31</v>
      </c>
      <c r="U1472" s="131"/>
    </row>
    <row r="1473" spans="1:21" ht="26.25" hidden="1" thickBot="1">
      <c r="A1473" s="123">
        <v>1353</v>
      </c>
      <c r="B1473" s="123"/>
      <c r="C1473" s="123"/>
      <c r="D1473" s="123"/>
      <c r="E1473" s="123"/>
      <c r="F1473" s="123"/>
      <c r="G1473" s="127" t="s">
        <v>331</v>
      </c>
      <c r="H1473" s="128">
        <v>2012</v>
      </c>
      <c r="I1473" s="128" t="s">
        <v>100</v>
      </c>
      <c r="J1473" s="128">
        <f t="shared" si="44"/>
        <v>2</v>
      </c>
      <c r="K1473" s="128" t="s">
        <v>2808</v>
      </c>
      <c r="L1473" s="128" t="s">
        <v>30</v>
      </c>
      <c r="M1473" s="129" t="s">
        <v>34</v>
      </c>
      <c r="N1473" s="129" t="s">
        <v>28</v>
      </c>
      <c r="O1473" s="129" t="s">
        <v>28</v>
      </c>
      <c r="P1473" s="129" t="str">
        <f t="shared" si="45"/>
        <v>N/A</v>
      </c>
      <c r="Q1473" s="128" t="s">
        <v>2836</v>
      </c>
      <c r="R1473" s="128">
        <v>44.53</v>
      </c>
      <c r="S1473" s="130"/>
      <c r="T1473" s="130" t="s">
        <v>1051</v>
      </c>
      <c r="U1473" s="131"/>
    </row>
    <row r="1474" spans="1:21" ht="15.75" hidden="1" thickBot="1">
      <c r="A1474" s="123">
        <v>1353</v>
      </c>
      <c r="B1474" s="123"/>
      <c r="C1474" s="123"/>
      <c r="D1474" s="123"/>
      <c r="E1474" s="123"/>
      <c r="F1474" s="123"/>
      <c r="G1474" s="127" t="s">
        <v>331</v>
      </c>
      <c r="H1474" s="128">
        <v>2012</v>
      </c>
      <c r="I1474" s="128" t="s">
        <v>100</v>
      </c>
      <c r="J1474" s="128">
        <f t="shared" ref="J1474:J1537" si="46">COUNTIF(A$2:A$2215, A1474)</f>
        <v>2</v>
      </c>
      <c r="K1474" s="128" t="s">
        <v>340</v>
      </c>
      <c r="L1474" s="128" t="s">
        <v>30</v>
      </c>
      <c r="M1474" s="129" t="s">
        <v>31</v>
      </c>
      <c r="N1474" s="129" t="s">
        <v>32</v>
      </c>
      <c r="O1474" s="129" t="s">
        <v>32</v>
      </c>
      <c r="P1474" s="129" t="str">
        <f t="shared" si="45"/>
        <v>Y</v>
      </c>
      <c r="Q1474" s="132" t="s">
        <v>2837</v>
      </c>
      <c r="R1474" s="128">
        <v>54.37</v>
      </c>
      <c r="S1474" s="130"/>
      <c r="T1474" s="130" t="s">
        <v>31</v>
      </c>
      <c r="U1474" s="131"/>
    </row>
    <row r="1475" spans="1:21" ht="15.75" hidden="1" thickBot="1">
      <c r="A1475" s="123">
        <v>1347</v>
      </c>
      <c r="B1475" s="123"/>
      <c r="C1475" s="123"/>
      <c r="D1475" s="123"/>
      <c r="E1475" s="123"/>
      <c r="F1475" s="123"/>
      <c r="G1475" s="127" t="s">
        <v>331</v>
      </c>
      <c r="H1475" s="128">
        <v>2014</v>
      </c>
      <c r="I1475" s="128" t="s">
        <v>38</v>
      </c>
      <c r="J1475" s="128">
        <f t="shared" si="46"/>
        <v>4</v>
      </c>
      <c r="K1475" s="128" t="s">
        <v>2824</v>
      </c>
      <c r="L1475" s="128" t="s">
        <v>30</v>
      </c>
      <c r="M1475" s="129" t="s">
        <v>31</v>
      </c>
      <c r="N1475" s="129" t="s">
        <v>28</v>
      </c>
      <c r="O1475" s="129" t="s">
        <v>28</v>
      </c>
      <c r="P1475" s="129" t="str">
        <f t="shared" ref="P1475:P1538" si="47">IF(O1475="N", "N/A", IF(AND(N1475="N",  O1475="Y"), "N", IF(AND(O1475="Y", N1475="Y"), "Y", "")))</f>
        <v>N/A</v>
      </c>
      <c r="Q1475" s="128" t="s">
        <v>2838</v>
      </c>
      <c r="R1475" s="128">
        <v>13.7</v>
      </c>
      <c r="S1475" s="130"/>
      <c r="T1475" s="130" t="s">
        <v>31</v>
      </c>
      <c r="U1475" s="131"/>
    </row>
    <row r="1476" spans="1:21" ht="15.75" hidden="1" thickBot="1">
      <c r="A1476" s="123">
        <v>1347</v>
      </c>
      <c r="B1476" s="123"/>
      <c r="C1476" s="123"/>
      <c r="D1476" s="123"/>
      <c r="E1476" s="123"/>
      <c r="F1476" s="123"/>
      <c r="G1476" s="127" t="s">
        <v>331</v>
      </c>
      <c r="H1476" s="128">
        <v>2014</v>
      </c>
      <c r="I1476" s="128" t="s">
        <v>38</v>
      </c>
      <c r="J1476" s="128">
        <f t="shared" si="46"/>
        <v>4</v>
      </c>
      <c r="K1476" s="128" t="s">
        <v>2795</v>
      </c>
      <c r="L1476" s="128" t="s">
        <v>40</v>
      </c>
      <c r="M1476" s="129" t="s">
        <v>1003</v>
      </c>
      <c r="N1476" s="129" t="s">
        <v>28</v>
      </c>
      <c r="O1476" s="129" t="s">
        <v>28</v>
      </c>
      <c r="P1476" s="129" t="str">
        <f t="shared" si="47"/>
        <v>N/A</v>
      </c>
      <c r="Q1476" s="132" t="s">
        <v>2839</v>
      </c>
      <c r="R1476" s="128">
        <v>36.549999999999997</v>
      </c>
      <c r="S1476" s="128">
        <v>42.73</v>
      </c>
      <c r="T1476" s="130"/>
      <c r="U1476" s="131"/>
    </row>
    <row r="1477" spans="1:21" ht="15.75" hidden="1" thickBot="1">
      <c r="A1477" s="123">
        <v>1347</v>
      </c>
      <c r="B1477" s="123"/>
      <c r="C1477" s="123"/>
      <c r="D1477" s="123"/>
      <c r="E1477" s="123"/>
      <c r="F1477" s="123"/>
      <c r="G1477" s="127" t="s">
        <v>331</v>
      </c>
      <c r="H1477" s="128">
        <v>2014</v>
      </c>
      <c r="I1477" s="128" t="s">
        <v>38</v>
      </c>
      <c r="J1477" s="128">
        <f t="shared" si="46"/>
        <v>4</v>
      </c>
      <c r="K1477" s="128" t="s">
        <v>2840</v>
      </c>
      <c r="L1477" s="128" t="s">
        <v>30</v>
      </c>
      <c r="M1477" s="129" t="s">
        <v>1003</v>
      </c>
      <c r="N1477" s="129" t="s">
        <v>28</v>
      </c>
      <c r="O1477" s="129" t="s">
        <v>28</v>
      </c>
      <c r="P1477" s="129" t="str">
        <f t="shared" si="47"/>
        <v>N/A</v>
      </c>
      <c r="Q1477" s="132" t="s">
        <v>2841</v>
      </c>
      <c r="R1477" s="128">
        <v>0.77</v>
      </c>
      <c r="S1477" s="130"/>
      <c r="T1477" s="130"/>
      <c r="U1477" s="131"/>
    </row>
    <row r="1478" spans="1:21" ht="15.75" hidden="1" thickBot="1">
      <c r="A1478" s="123">
        <v>1347</v>
      </c>
      <c r="B1478" s="123"/>
      <c r="C1478" s="123"/>
      <c r="D1478" s="123"/>
      <c r="E1478" s="123"/>
      <c r="F1478" s="123"/>
      <c r="G1478" s="127" t="s">
        <v>331</v>
      </c>
      <c r="H1478" s="128">
        <v>2014</v>
      </c>
      <c r="I1478" s="128" t="s">
        <v>38</v>
      </c>
      <c r="J1478" s="128">
        <f t="shared" si="46"/>
        <v>4</v>
      </c>
      <c r="K1478" s="128" t="s">
        <v>333</v>
      </c>
      <c r="L1478" s="128" t="s">
        <v>40</v>
      </c>
      <c r="M1478" s="129" t="s">
        <v>31</v>
      </c>
      <c r="N1478" s="129" t="s">
        <v>32</v>
      </c>
      <c r="O1478" s="129" t="s">
        <v>28</v>
      </c>
      <c r="P1478" s="129" t="str">
        <f t="shared" si="47"/>
        <v>N/A</v>
      </c>
      <c r="Q1478" s="132" t="s">
        <v>2842</v>
      </c>
      <c r="R1478" s="128">
        <v>48.46</v>
      </c>
      <c r="S1478" s="128">
        <v>57.27</v>
      </c>
      <c r="T1478" s="130" t="s">
        <v>31</v>
      </c>
      <c r="U1478" s="123"/>
    </row>
    <row r="1479" spans="1:21" ht="15.75" hidden="1" thickBot="1">
      <c r="A1479" s="123">
        <v>1348</v>
      </c>
      <c r="B1479" s="123"/>
      <c r="C1479" s="123"/>
      <c r="D1479" s="123"/>
      <c r="E1479" s="123"/>
      <c r="F1479" s="123"/>
      <c r="G1479" s="127" t="s">
        <v>331</v>
      </c>
      <c r="H1479" s="128">
        <v>2014</v>
      </c>
      <c r="I1479" s="128" t="s">
        <v>76</v>
      </c>
      <c r="J1479" s="128">
        <f t="shared" si="46"/>
        <v>4</v>
      </c>
      <c r="K1479" s="128" t="s">
        <v>1340</v>
      </c>
      <c r="L1479" s="128" t="s">
        <v>30</v>
      </c>
      <c r="M1479" s="129" t="s">
        <v>201</v>
      </c>
      <c r="N1479" s="129" t="s">
        <v>28</v>
      </c>
      <c r="O1479" s="129" t="s">
        <v>28</v>
      </c>
      <c r="P1479" s="129" t="str">
        <f t="shared" si="47"/>
        <v>N/A</v>
      </c>
      <c r="Q1479" s="128" t="s">
        <v>2843</v>
      </c>
      <c r="R1479" s="128">
        <v>13.18</v>
      </c>
      <c r="S1479" s="130"/>
      <c r="T1479" s="130" t="s">
        <v>998</v>
      </c>
      <c r="U1479" s="131"/>
    </row>
    <row r="1480" spans="1:21" ht="15.75" hidden="1" thickBot="1">
      <c r="A1480" s="123">
        <v>1348</v>
      </c>
      <c r="B1480" s="123"/>
      <c r="C1480" s="123"/>
      <c r="D1480" s="123"/>
      <c r="E1480" s="123"/>
      <c r="F1480" s="123"/>
      <c r="G1480" s="127" t="s">
        <v>331</v>
      </c>
      <c r="H1480" s="128">
        <v>2014</v>
      </c>
      <c r="I1480" s="128" t="s">
        <v>76</v>
      </c>
      <c r="J1480" s="128">
        <f t="shared" si="46"/>
        <v>4</v>
      </c>
      <c r="K1480" s="128" t="s">
        <v>335</v>
      </c>
      <c r="L1480" s="128" t="s">
        <v>40</v>
      </c>
      <c r="M1480" s="129" t="s">
        <v>31</v>
      </c>
      <c r="N1480" s="129" t="s">
        <v>32</v>
      </c>
      <c r="O1480" s="129" t="s">
        <v>28</v>
      </c>
      <c r="P1480" s="129" t="str">
        <f t="shared" si="47"/>
        <v>N/A</v>
      </c>
      <c r="Q1480" s="132" t="s">
        <v>2844</v>
      </c>
      <c r="R1480" s="128">
        <v>42.23</v>
      </c>
      <c r="S1480" s="128">
        <v>64.959999999999994</v>
      </c>
      <c r="T1480" s="130" t="s">
        <v>31</v>
      </c>
      <c r="U1480" s="131"/>
    </row>
    <row r="1481" spans="1:21" ht="15.75" hidden="1" thickBot="1">
      <c r="A1481" s="123">
        <v>1348</v>
      </c>
      <c r="B1481" s="123"/>
      <c r="C1481" s="123"/>
      <c r="D1481" s="123"/>
      <c r="E1481" s="123"/>
      <c r="F1481" s="123"/>
      <c r="G1481" s="127" t="s">
        <v>331</v>
      </c>
      <c r="H1481" s="128">
        <v>2014</v>
      </c>
      <c r="I1481" s="128" t="s">
        <v>76</v>
      </c>
      <c r="J1481" s="128">
        <f t="shared" si="46"/>
        <v>4</v>
      </c>
      <c r="K1481" s="128" t="s">
        <v>2845</v>
      </c>
      <c r="L1481" s="128" t="s">
        <v>30</v>
      </c>
      <c r="M1481" s="129" t="s">
        <v>34</v>
      </c>
      <c r="N1481" s="129" t="s">
        <v>28</v>
      </c>
      <c r="O1481" s="129" t="s">
        <v>28</v>
      </c>
      <c r="P1481" s="129" t="str">
        <f t="shared" si="47"/>
        <v>N/A</v>
      </c>
      <c r="Q1481" s="128" t="s">
        <v>2803</v>
      </c>
      <c r="R1481" s="128">
        <v>21.63</v>
      </c>
      <c r="S1481" s="130"/>
      <c r="T1481" s="130" t="s">
        <v>1015</v>
      </c>
      <c r="U1481" s="131"/>
    </row>
    <row r="1482" spans="1:21" ht="15.75" hidden="1" thickBot="1">
      <c r="A1482" s="123">
        <v>1348</v>
      </c>
      <c r="B1482" s="123"/>
      <c r="C1482" s="123"/>
      <c r="D1482" s="123"/>
      <c r="E1482" s="123"/>
      <c r="F1482" s="123"/>
      <c r="G1482" s="127" t="s">
        <v>331</v>
      </c>
      <c r="H1482" s="128">
        <v>2014</v>
      </c>
      <c r="I1482" s="128" t="s">
        <v>76</v>
      </c>
      <c r="J1482" s="128">
        <f t="shared" si="46"/>
        <v>4</v>
      </c>
      <c r="K1482" s="128" t="s">
        <v>2846</v>
      </c>
      <c r="L1482" s="128" t="s">
        <v>30</v>
      </c>
      <c r="M1482" s="129" t="s">
        <v>31</v>
      </c>
      <c r="N1482" s="129" t="s">
        <v>28</v>
      </c>
      <c r="O1482" s="129" t="s">
        <v>28</v>
      </c>
      <c r="P1482" s="129" t="str">
        <f t="shared" si="47"/>
        <v>N/A</v>
      </c>
      <c r="Q1482" s="128" t="s">
        <v>2847</v>
      </c>
      <c r="R1482" s="128">
        <v>22.42</v>
      </c>
      <c r="S1482" s="128">
        <v>35.04</v>
      </c>
      <c r="T1482" s="130" t="s">
        <v>31</v>
      </c>
      <c r="U1482" s="131"/>
    </row>
    <row r="1483" spans="1:21" ht="15.75" hidden="1" thickBot="1">
      <c r="A1483" s="123">
        <v>1349</v>
      </c>
      <c r="B1483" s="123"/>
      <c r="C1483" s="123"/>
      <c r="D1483" s="123"/>
      <c r="E1483" s="123"/>
      <c r="F1483" s="123"/>
      <c r="G1483" s="127" t="s">
        <v>331</v>
      </c>
      <c r="H1483" s="128">
        <v>2014</v>
      </c>
      <c r="I1483" s="128" t="s">
        <v>94</v>
      </c>
      <c r="J1483" s="128">
        <f t="shared" si="46"/>
        <v>3</v>
      </c>
      <c r="K1483" s="128" t="s">
        <v>2848</v>
      </c>
      <c r="L1483" s="128" t="s">
        <v>30</v>
      </c>
      <c r="M1483" s="129" t="s">
        <v>31</v>
      </c>
      <c r="N1483" s="129" t="s">
        <v>28</v>
      </c>
      <c r="O1483" s="129" t="s">
        <v>28</v>
      </c>
      <c r="P1483" s="129" t="str">
        <f t="shared" si="47"/>
        <v>N/A</v>
      </c>
      <c r="Q1483" s="128" t="s">
        <v>2849</v>
      </c>
      <c r="R1483" s="128">
        <v>13.49</v>
      </c>
      <c r="S1483" s="130"/>
      <c r="T1483" s="130" t="s">
        <v>31</v>
      </c>
      <c r="U1483" s="131"/>
    </row>
    <row r="1484" spans="1:21" ht="15.75" hidden="1" thickBot="1">
      <c r="A1484" s="123">
        <v>1349</v>
      </c>
      <c r="B1484" s="123"/>
      <c r="C1484" s="123"/>
      <c r="D1484" s="123"/>
      <c r="E1484" s="123"/>
      <c r="F1484" s="123"/>
      <c r="G1484" s="127" t="s">
        <v>331</v>
      </c>
      <c r="H1484" s="128">
        <v>2014</v>
      </c>
      <c r="I1484" s="128" t="s">
        <v>94</v>
      </c>
      <c r="J1484" s="128">
        <f t="shared" si="46"/>
        <v>3</v>
      </c>
      <c r="K1484" s="128" t="s">
        <v>336</v>
      </c>
      <c r="L1484" s="128" t="s">
        <v>30</v>
      </c>
      <c r="M1484" s="129" t="s">
        <v>201</v>
      </c>
      <c r="N1484" s="129" t="s">
        <v>32</v>
      </c>
      <c r="O1484" s="129" t="s">
        <v>28</v>
      </c>
      <c r="P1484" s="129" t="str">
        <f t="shared" si="47"/>
        <v>N/A</v>
      </c>
      <c r="Q1484" s="132" t="s">
        <v>2850</v>
      </c>
      <c r="R1484" s="128">
        <v>53.67</v>
      </c>
      <c r="S1484" s="130"/>
      <c r="T1484" s="130" t="s">
        <v>998</v>
      </c>
      <c r="U1484" s="131"/>
    </row>
    <row r="1485" spans="1:21" ht="26.25" hidden="1" thickBot="1">
      <c r="A1485" s="123">
        <v>1349</v>
      </c>
      <c r="B1485" s="123"/>
      <c r="C1485" s="123"/>
      <c r="D1485" s="123"/>
      <c r="E1485" s="123"/>
      <c r="F1485" s="123"/>
      <c r="G1485" s="127" t="s">
        <v>331</v>
      </c>
      <c r="H1485" s="128">
        <v>2014</v>
      </c>
      <c r="I1485" s="128" t="s">
        <v>94</v>
      </c>
      <c r="J1485" s="128">
        <f t="shared" si="46"/>
        <v>3</v>
      </c>
      <c r="K1485" s="128" t="s">
        <v>2851</v>
      </c>
      <c r="L1485" s="128" t="s">
        <v>30</v>
      </c>
      <c r="M1485" s="129" t="s">
        <v>1065</v>
      </c>
      <c r="N1485" s="129" t="s">
        <v>28</v>
      </c>
      <c r="O1485" s="129" t="s">
        <v>28</v>
      </c>
      <c r="P1485" s="129" t="str">
        <f t="shared" si="47"/>
        <v>N/A</v>
      </c>
      <c r="Q1485" s="128" t="s">
        <v>2852</v>
      </c>
      <c r="R1485" s="128">
        <v>32</v>
      </c>
      <c r="S1485" s="130"/>
      <c r="T1485" s="130" t="s">
        <v>1940</v>
      </c>
      <c r="U1485" s="131"/>
    </row>
    <row r="1486" spans="1:21" ht="15.75" hidden="1" thickBot="1">
      <c r="A1486" s="123">
        <v>1350</v>
      </c>
      <c r="B1486" s="123"/>
      <c r="C1486" s="123"/>
      <c r="D1486" s="123"/>
      <c r="E1486" s="123"/>
      <c r="F1486" s="123"/>
      <c r="G1486" s="127" t="s">
        <v>331</v>
      </c>
      <c r="H1486" s="128">
        <v>2014</v>
      </c>
      <c r="I1486" s="128" t="s">
        <v>97</v>
      </c>
      <c r="J1486" s="128">
        <f t="shared" si="46"/>
        <v>3</v>
      </c>
      <c r="K1486" s="128" t="s">
        <v>337</v>
      </c>
      <c r="L1486" s="128" t="s">
        <v>40</v>
      </c>
      <c r="M1486" s="129" t="s">
        <v>1065</v>
      </c>
      <c r="N1486" s="129" t="s">
        <v>32</v>
      </c>
      <c r="O1486" s="129" t="s">
        <v>28</v>
      </c>
      <c r="P1486" s="129" t="str">
        <f t="shared" si="47"/>
        <v>N/A</v>
      </c>
      <c r="Q1486" s="132" t="s">
        <v>2853</v>
      </c>
      <c r="R1486" s="128">
        <v>53.54</v>
      </c>
      <c r="S1486" s="130"/>
      <c r="T1486" s="130" t="s">
        <v>1069</v>
      </c>
      <c r="U1486" s="131"/>
    </row>
    <row r="1487" spans="1:21" ht="15.75" hidden="1" thickBot="1">
      <c r="A1487" s="123">
        <v>1350</v>
      </c>
      <c r="B1487" s="123"/>
      <c r="C1487" s="123"/>
      <c r="D1487" s="123"/>
      <c r="E1487" s="123"/>
      <c r="F1487" s="123"/>
      <c r="G1487" s="127" t="s">
        <v>331</v>
      </c>
      <c r="H1487" s="128">
        <v>2014</v>
      </c>
      <c r="I1487" s="128" t="s">
        <v>97</v>
      </c>
      <c r="J1487" s="128">
        <f t="shared" si="46"/>
        <v>3</v>
      </c>
      <c r="K1487" s="128" t="s">
        <v>2854</v>
      </c>
      <c r="L1487" s="128" t="s">
        <v>40</v>
      </c>
      <c r="M1487" s="129" t="s">
        <v>31</v>
      </c>
      <c r="N1487" s="129" t="s">
        <v>28</v>
      </c>
      <c r="O1487" s="129" t="s">
        <v>28</v>
      </c>
      <c r="P1487" s="129" t="str">
        <f t="shared" si="47"/>
        <v>N/A</v>
      </c>
      <c r="Q1487" s="128" t="s">
        <v>2803</v>
      </c>
      <c r="R1487" s="128">
        <v>23.59</v>
      </c>
      <c r="S1487" s="130"/>
      <c r="T1487" s="130" t="s">
        <v>31</v>
      </c>
      <c r="U1487" s="131"/>
    </row>
    <row r="1488" spans="1:21" ht="15.75" hidden="1" thickBot="1">
      <c r="A1488" s="123">
        <v>1350</v>
      </c>
      <c r="B1488" s="123"/>
      <c r="C1488" s="123"/>
      <c r="D1488" s="123"/>
      <c r="E1488" s="123"/>
      <c r="F1488" s="123"/>
      <c r="G1488" s="127" t="s">
        <v>331</v>
      </c>
      <c r="H1488" s="128">
        <v>2014</v>
      </c>
      <c r="I1488" s="128" t="s">
        <v>97</v>
      </c>
      <c r="J1488" s="128">
        <f t="shared" si="46"/>
        <v>3</v>
      </c>
      <c r="K1488" s="128" t="s">
        <v>2855</v>
      </c>
      <c r="L1488" s="128" t="s">
        <v>40</v>
      </c>
      <c r="M1488" s="129" t="s">
        <v>31</v>
      </c>
      <c r="N1488" s="129" t="s">
        <v>28</v>
      </c>
      <c r="O1488" s="129" t="s">
        <v>28</v>
      </c>
      <c r="P1488" s="129" t="str">
        <f t="shared" si="47"/>
        <v>N/A</v>
      </c>
      <c r="Q1488" s="128" t="s">
        <v>2856</v>
      </c>
      <c r="R1488" s="128">
        <v>22.22</v>
      </c>
      <c r="S1488" s="130"/>
      <c r="T1488" s="130" t="s">
        <v>31</v>
      </c>
      <c r="U1488" s="131"/>
    </row>
    <row r="1489" spans="1:21" ht="15.75" thickBot="1">
      <c r="A1489" s="123">
        <v>1403</v>
      </c>
      <c r="B1489" s="123"/>
      <c r="C1489" s="123"/>
      <c r="D1489" s="123"/>
      <c r="E1489" s="123"/>
      <c r="F1489" s="123"/>
      <c r="G1489" s="127" t="s">
        <v>357</v>
      </c>
      <c r="H1489" s="128">
        <v>2000</v>
      </c>
      <c r="I1489" s="128" t="s">
        <v>38</v>
      </c>
      <c r="J1489" s="128">
        <f t="shared" si="46"/>
        <v>3</v>
      </c>
      <c r="K1489" s="128" t="s">
        <v>358</v>
      </c>
      <c r="L1489" s="128" t="s">
        <v>30</v>
      </c>
      <c r="M1489" s="129" t="s">
        <v>1065</v>
      </c>
      <c r="N1489" s="129" t="s">
        <v>32</v>
      </c>
      <c r="O1489" s="129"/>
      <c r="P1489" s="129" t="str">
        <f t="shared" si="47"/>
        <v/>
      </c>
      <c r="Q1489" s="130"/>
      <c r="R1489" s="128">
        <v>71.25</v>
      </c>
      <c r="S1489" s="130"/>
      <c r="T1489" s="130"/>
      <c r="U1489" s="131"/>
    </row>
    <row r="1490" spans="1:21" ht="15.75" thickBot="1">
      <c r="A1490" s="123">
        <v>1403</v>
      </c>
      <c r="B1490" s="123"/>
      <c r="C1490" s="123"/>
      <c r="D1490" s="123"/>
      <c r="E1490" s="123"/>
      <c r="F1490" s="123"/>
      <c r="G1490" s="127" t="s">
        <v>357</v>
      </c>
      <c r="H1490" s="128">
        <v>2000</v>
      </c>
      <c r="I1490" s="128" t="s">
        <v>38</v>
      </c>
      <c r="J1490" s="128">
        <f t="shared" si="46"/>
        <v>3</v>
      </c>
      <c r="K1490" s="128" t="s">
        <v>2857</v>
      </c>
      <c r="L1490" s="128" t="s">
        <v>30</v>
      </c>
      <c r="M1490" s="129" t="s">
        <v>31</v>
      </c>
      <c r="N1490" s="129" t="s">
        <v>28</v>
      </c>
      <c r="O1490" s="129"/>
      <c r="P1490" s="129" t="str">
        <f t="shared" si="47"/>
        <v/>
      </c>
      <c r="Q1490" s="128" t="s">
        <v>2858</v>
      </c>
      <c r="R1490" s="128">
        <v>11.98</v>
      </c>
      <c r="S1490" s="130"/>
      <c r="T1490" s="130" t="s">
        <v>31</v>
      </c>
      <c r="U1490" s="131"/>
    </row>
    <row r="1491" spans="1:21" ht="15.75" thickBot="1">
      <c r="A1491" s="123">
        <v>1403</v>
      </c>
      <c r="B1491" s="123"/>
      <c r="C1491" s="123"/>
      <c r="D1491" s="123"/>
      <c r="E1491" s="123"/>
      <c r="F1491" s="123"/>
      <c r="G1491" s="127" t="s">
        <v>357</v>
      </c>
      <c r="H1491" s="128">
        <v>2000</v>
      </c>
      <c r="I1491" s="128" t="s">
        <v>38</v>
      </c>
      <c r="J1491" s="128">
        <f t="shared" si="46"/>
        <v>3</v>
      </c>
      <c r="K1491" s="128" t="s">
        <v>2859</v>
      </c>
      <c r="L1491" s="128" t="s">
        <v>30</v>
      </c>
      <c r="M1491" s="129" t="s">
        <v>1003</v>
      </c>
      <c r="N1491" s="129" t="s">
        <v>28</v>
      </c>
      <c r="O1491" s="129"/>
      <c r="P1491" s="129" t="str">
        <f t="shared" si="47"/>
        <v/>
      </c>
      <c r="Q1491" s="128" t="s">
        <v>2860</v>
      </c>
      <c r="R1491" s="128">
        <v>16.77</v>
      </c>
      <c r="S1491" s="130"/>
      <c r="T1491" s="130"/>
      <c r="U1491" s="131"/>
    </row>
    <row r="1492" spans="1:21" ht="15.75" thickBot="1">
      <c r="A1492" s="123">
        <v>1404</v>
      </c>
      <c r="B1492" s="123"/>
      <c r="C1492" s="123"/>
      <c r="D1492" s="123"/>
      <c r="E1492" s="123"/>
      <c r="F1492" s="123"/>
      <c r="G1492" s="127" t="s">
        <v>357</v>
      </c>
      <c r="H1492" s="128">
        <v>2000</v>
      </c>
      <c r="I1492" s="128" t="s">
        <v>368</v>
      </c>
      <c r="J1492" s="128">
        <f t="shared" si="46"/>
        <v>2</v>
      </c>
      <c r="K1492" s="128" t="s">
        <v>379</v>
      </c>
      <c r="L1492" s="128" t="s">
        <v>30</v>
      </c>
      <c r="M1492" s="129" t="s">
        <v>1065</v>
      </c>
      <c r="N1492" s="129" t="s">
        <v>32</v>
      </c>
      <c r="O1492" s="129"/>
      <c r="P1492" s="129" t="str">
        <f t="shared" si="47"/>
        <v/>
      </c>
      <c r="Q1492" s="128" t="s">
        <v>2861</v>
      </c>
      <c r="R1492" s="128">
        <v>63.23</v>
      </c>
      <c r="S1492" s="130"/>
      <c r="T1492" s="130"/>
      <c r="U1492" s="131"/>
    </row>
    <row r="1493" spans="1:21" ht="15.75" thickBot="1">
      <c r="A1493" s="123">
        <v>1404</v>
      </c>
      <c r="B1493" s="123"/>
      <c r="C1493" s="123"/>
      <c r="D1493" s="123"/>
      <c r="E1493" s="123"/>
      <c r="F1493" s="123"/>
      <c r="G1493" s="127" t="s">
        <v>357</v>
      </c>
      <c r="H1493" s="128">
        <v>2000</v>
      </c>
      <c r="I1493" s="128" t="s">
        <v>368</v>
      </c>
      <c r="J1493" s="128">
        <f t="shared" si="46"/>
        <v>2</v>
      </c>
      <c r="K1493" s="128" t="s">
        <v>2862</v>
      </c>
      <c r="L1493" s="128" t="s">
        <v>30</v>
      </c>
      <c r="M1493" s="129" t="s">
        <v>1065</v>
      </c>
      <c r="N1493" s="129" t="s">
        <v>28</v>
      </c>
      <c r="O1493" s="129"/>
      <c r="P1493" s="129" t="str">
        <f t="shared" si="47"/>
        <v/>
      </c>
      <c r="Q1493" s="138" t="s">
        <v>2863</v>
      </c>
      <c r="R1493" s="128">
        <v>36.770000000000003</v>
      </c>
      <c r="S1493" s="130"/>
      <c r="T1493" s="130" t="s">
        <v>998</v>
      </c>
      <c r="U1493" s="131"/>
    </row>
    <row r="1494" spans="1:21" ht="26.25" thickBot="1">
      <c r="A1494" s="123">
        <v>1405</v>
      </c>
      <c r="B1494" s="123"/>
      <c r="C1494" s="123"/>
      <c r="D1494" s="123"/>
      <c r="E1494" s="123"/>
      <c r="F1494" s="123"/>
      <c r="G1494" s="127" t="s">
        <v>357</v>
      </c>
      <c r="H1494" s="128">
        <v>2000</v>
      </c>
      <c r="I1494" s="128" t="s">
        <v>371</v>
      </c>
      <c r="J1494" s="128">
        <f t="shared" si="46"/>
        <v>4</v>
      </c>
      <c r="K1494" s="128" t="s">
        <v>2864</v>
      </c>
      <c r="L1494" s="128" t="s">
        <v>30</v>
      </c>
      <c r="M1494" s="129" t="s">
        <v>1065</v>
      </c>
      <c r="N1494" s="129" t="s">
        <v>28</v>
      </c>
      <c r="O1494" s="129"/>
      <c r="P1494" s="129" t="str">
        <f t="shared" si="47"/>
        <v/>
      </c>
      <c r="Q1494" s="128" t="s">
        <v>2865</v>
      </c>
      <c r="R1494" s="128">
        <v>28.15</v>
      </c>
      <c r="S1494" s="130"/>
      <c r="T1494" s="130" t="s">
        <v>2866</v>
      </c>
      <c r="U1494" s="131"/>
    </row>
    <row r="1495" spans="1:21" ht="15.75" thickBot="1">
      <c r="A1495" s="123">
        <v>1405</v>
      </c>
      <c r="B1495" s="123"/>
      <c r="C1495" s="123"/>
      <c r="D1495" s="123"/>
      <c r="E1495" s="123"/>
      <c r="F1495" s="123"/>
      <c r="G1495" s="127" t="s">
        <v>357</v>
      </c>
      <c r="H1495" s="128">
        <v>2000</v>
      </c>
      <c r="I1495" s="128" t="s">
        <v>371</v>
      </c>
      <c r="J1495" s="128">
        <f t="shared" si="46"/>
        <v>4</v>
      </c>
      <c r="K1495" s="128" t="s">
        <v>383</v>
      </c>
      <c r="L1495" s="128" t="s">
        <v>30</v>
      </c>
      <c r="M1495" s="129" t="s">
        <v>31</v>
      </c>
      <c r="N1495" s="129" t="s">
        <v>32</v>
      </c>
      <c r="O1495" s="129"/>
      <c r="P1495" s="129" t="str">
        <f t="shared" si="47"/>
        <v/>
      </c>
      <c r="Q1495" s="130"/>
      <c r="R1495" s="128">
        <v>43.72</v>
      </c>
      <c r="S1495" s="130"/>
      <c r="T1495" s="130"/>
      <c r="U1495" s="131"/>
    </row>
    <row r="1496" spans="1:21" ht="15.75" thickBot="1">
      <c r="A1496" s="123">
        <v>1405</v>
      </c>
      <c r="B1496" s="123"/>
      <c r="C1496" s="123"/>
      <c r="D1496" s="123"/>
      <c r="E1496" s="123"/>
      <c r="F1496" s="123"/>
      <c r="G1496" s="127" t="s">
        <v>357</v>
      </c>
      <c r="H1496" s="128">
        <v>2000</v>
      </c>
      <c r="I1496" s="128" t="s">
        <v>371</v>
      </c>
      <c r="J1496" s="128">
        <f t="shared" si="46"/>
        <v>4</v>
      </c>
      <c r="K1496" s="128" t="s">
        <v>2867</v>
      </c>
      <c r="L1496" s="128" t="s">
        <v>40</v>
      </c>
      <c r="M1496" s="129" t="s">
        <v>31</v>
      </c>
      <c r="N1496" s="129" t="s">
        <v>28</v>
      </c>
      <c r="O1496" s="129"/>
      <c r="P1496" s="129" t="str">
        <f t="shared" si="47"/>
        <v/>
      </c>
      <c r="Q1496" s="128" t="s">
        <v>1004</v>
      </c>
      <c r="R1496" s="128">
        <v>21.83</v>
      </c>
      <c r="S1496" s="130"/>
      <c r="T1496" s="130"/>
      <c r="U1496" s="131"/>
    </row>
    <row r="1497" spans="1:21" ht="15.75" thickBot="1">
      <c r="A1497" s="123">
        <v>1405</v>
      </c>
      <c r="B1497" s="123"/>
      <c r="C1497" s="123"/>
      <c r="D1497" s="123"/>
      <c r="E1497" s="123"/>
      <c r="F1497" s="123"/>
      <c r="G1497" s="127" t="s">
        <v>357</v>
      </c>
      <c r="H1497" s="128">
        <v>2000</v>
      </c>
      <c r="I1497" s="128" t="s">
        <v>371</v>
      </c>
      <c r="J1497" s="128">
        <f t="shared" si="46"/>
        <v>4</v>
      </c>
      <c r="K1497" s="128" t="s">
        <v>2868</v>
      </c>
      <c r="L1497" s="128" t="s">
        <v>30</v>
      </c>
      <c r="M1497" s="129" t="s">
        <v>31</v>
      </c>
      <c r="N1497" s="129" t="s">
        <v>28</v>
      </c>
      <c r="O1497" s="129"/>
      <c r="P1497" s="129" t="str">
        <f t="shared" si="47"/>
        <v/>
      </c>
      <c r="Q1497" s="128" t="s">
        <v>2869</v>
      </c>
      <c r="R1497" s="128">
        <v>6.3</v>
      </c>
      <c r="S1497" s="130"/>
      <c r="T1497" s="130" t="s">
        <v>31</v>
      </c>
      <c r="U1497" s="131"/>
    </row>
    <row r="1498" spans="1:21" ht="15.75" hidden="1" thickBot="1">
      <c r="A1498" s="123">
        <v>1406</v>
      </c>
      <c r="B1498" s="123"/>
      <c r="C1498" s="123"/>
      <c r="D1498" s="123"/>
      <c r="E1498" s="123"/>
      <c r="F1498" s="123"/>
      <c r="G1498" s="127" t="s">
        <v>357</v>
      </c>
      <c r="H1498" s="128">
        <v>2000</v>
      </c>
      <c r="I1498" s="128" t="s">
        <v>374</v>
      </c>
      <c r="J1498" s="128">
        <f t="shared" si="46"/>
        <v>2</v>
      </c>
      <c r="K1498" s="128" t="s">
        <v>378</v>
      </c>
      <c r="L1498" s="128" t="s">
        <v>40</v>
      </c>
      <c r="M1498" s="129" t="s">
        <v>1065</v>
      </c>
      <c r="N1498" s="129" t="s">
        <v>32</v>
      </c>
      <c r="O1498" s="129" t="s">
        <v>28</v>
      </c>
      <c r="P1498" s="129" t="str">
        <f t="shared" si="47"/>
        <v>N/A</v>
      </c>
      <c r="Q1498" s="128" t="s">
        <v>2861</v>
      </c>
      <c r="R1498" s="128">
        <v>54.47</v>
      </c>
      <c r="S1498" s="130"/>
      <c r="T1498" s="130" t="s">
        <v>1015</v>
      </c>
      <c r="U1498" s="131"/>
    </row>
    <row r="1499" spans="1:21" ht="15.75" thickBot="1">
      <c r="A1499" s="123">
        <v>1406</v>
      </c>
      <c r="B1499" s="123"/>
      <c r="C1499" s="123"/>
      <c r="D1499" s="123"/>
      <c r="E1499" s="123"/>
      <c r="F1499" s="123"/>
      <c r="G1499" s="127" t="s">
        <v>357</v>
      </c>
      <c r="H1499" s="128">
        <v>2000</v>
      </c>
      <c r="I1499" s="128" t="s">
        <v>374</v>
      </c>
      <c r="J1499" s="128">
        <f t="shared" si="46"/>
        <v>2</v>
      </c>
      <c r="K1499" s="128" t="s">
        <v>2870</v>
      </c>
      <c r="L1499" s="128" t="s">
        <v>40</v>
      </c>
      <c r="M1499" s="129" t="s">
        <v>31</v>
      </c>
      <c r="N1499" s="129" t="s">
        <v>28</v>
      </c>
      <c r="O1499" s="129"/>
      <c r="P1499" s="129" t="str">
        <f t="shared" si="47"/>
        <v/>
      </c>
      <c r="Q1499" s="128" t="s">
        <v>2861</v>
      </c>
      <c r="R1499" s="128">
        <v>45.53</v>
      </c>
      <c r="S1499" s="130"/>
      <c r="T1499" s="130" t="s">
        <v>31</v>
      </c>
      <c r="U1499" s="131"/>
    </row>
    <row r="1500" spans="1:21" ht="15.75" thickBot="1">
      <c r="A1500" s="123">
        <v>1399</v>
      </c>
      <c r="B1500" s="123"/>
      <c r="C1500" s="123"/>
      <c r="D1500" s="123"/>
      <c r="E1500" s="123"/>
      <c r="F1500" s="123"/>
      <c r="G1500" s="127" t="s">
        <v>357</v>
      </c>
      <c r="H1500" s="128">
        <v>2002</v>
      </c>
      <c r="I1500" s="128" t="s">
        <v>38</v>
      </c>
      <c r="J1500" s="128">
        <f t="shared" si="46"/>
        <v>1</v>
      </c>
      <c r="K1500" s="128" t="s">
        <v>358</v>
      </c>
      <c r="L1500" s="128" t="s">
        <v>30</v>
      </c>
      <c r="M1500" s="129" t="s">
        <v>1065</v>
      </c>
      <c r="N1500" s="129" t="s">
        <v>32</v>
      </c>
      <c r="O1500" s="129"/>
      <c r="P1500" s="129" t="str">
        <f t="shared" si="47"/>
        <v/>
      </c>
      <c r="Q1500" s="130"/>
      <c r="R1500" s="128">
        <v>100</v>
      </c>
      <c r="S1500" s="130"/>
      <c r="T1500" s="130"/>
      <c r="U1500" s="131"/>
    </row>
    <row r="1501" spans="1:21" ht="15.75" thickBot="1">
      <c r="A1501" s="123">
        <v>1400</v>
      </c>
      <c r="B1501" s="123"/>
      <c r="C1501" s="123"/>
      <c r="D1501" s="123"/>
      <c r="E1501" s="123"/>
      <c r="F1501" s="123"/>
      <c r="G1501" s="127" t="s">
        <v>357</v>
      </c>
      <c r="H1501" s="128">
        <v>2002</v>
      </c>
      <c r="I1501" s="128" t="s">
        <v>359</v>
      </c>
      <c r="J1501" s="128">
        <f t="shared" si="46"/>
        <v>2</v>
      </c>
      <c r="K1501" s="128" t="s">
        <v>2871</v>
      </c>
      <c r="L1501" s="128" t="s">
        <v>30</v>
      </c>
      <c r="M1501" s="129" t="s">
        <v>1065</v>
      </c>
      <c r="N1501" s="129" t="s">
        <v>28</v>
      </c>
      <c r="O1501" s="129"/>
      <c r="P1501" s="129" t="str">
        <f t="shared" si="47"/>
        <v/>
      </c>
      <c r="Q1501" s="128" t="s">
        <v>2872</v>
      </c>
      <c r="R1501" s="128">
        <v>34.6</v>
      </c>
      <c r="S1501" s="130"/>
      <c r="T1501" s="130" t="s">
        <v>1015</v>
      </c>
      <c r="U1501" s="131"/>
    </row>
    <row r="1502" spans="1:21" ht="15.75" thickBot="1">
      <c r="A1502" s="123">
        <v>1400</v>
      </c>
      <c r="B1502" s="123"/>
      <c r="C1502" s="123"/>
      <c r="D1502" s="123"/>
      <c r="E1502" s="123"/>
      <c r="F1502" s="123"/>
      <c r="G1502" s="127" t="s">
        <v>357</v>
      </c>
      <c r="H1502" s="128">
        <v>2002</v>
      </c>
      <c r="I1502" s="128" t="s">
        <v>359</v>
      </c>
      <c r="J1502" s="128">
        <f t="shared" si="46"/>
        <v>2</v>
      </c>
      <c r="K1502" s="128" t="s">
        <v>380</v>
      </c>
      <c r="L1502" s="128" t="s">
        <v>40</v>
      </c>
      <c r="M1502" s="129" t="s">
        <v>31</v>
      </c>
      <c r="N1502" s="129" t="s">
        <v>32</v>
      </c>
      <c r="O1502" s="129"/>
      <c r="P1502" s="129" t="str">
        <f t="shared" si="47"/>
        <v/>
      </c>
      <c r="Q1502" s="128" t="s">
        <v>2861</v>
      </c>
      <c r="R1502" s="128">
        <v>65.400000000000006</v>
      </c>
      <c r="S1502" s="130"/>
      <c r="T1502" s="130" t="s">
        <v>31</v>
      </c>
      <c r="U1502" s="131"/>
    </row>
    <row r="1503" spans="1:21" ht="15.75" thickBot="1">
      <c r="A1503" s="123">
        <v>1401</v>
      </c>
      <c r="B1503" s="123"/>
      <c r="C1503" s="123"/>
      <c r="D1503" s="123"/>
      <c r="E1503" s="123"/>
      <c r="F1503" s="123"/>
      <c r="G1503" s="127" t="s">
        <v>357</v>
      </c>
      <c r="H1503" s="128">
        <v>2002</v>
      </c>
      <c r="I1503" s="128" t="s">
        <v>362</v>
      </c>
      <c r="J1503" s="128">
        <f t="shared" si="46"/>
        <v>2</v>
      </c>
      <c r="K1503" s="128" t="s">
        <v>381</v>
      </c>
      <c r="L1503" s="128" t="s">
        <v>40</v>
      </c>
      <c r="M1503" s="129" t="s">
        <v>201</v>
      </c>
      <c r="N1503" s="129" t="s">
        <v>32</v>
      </c>
      <c r="O1503" s="129"/>
      <c r="P1503" s="129" t="str">
        <f t="shared" si="47"/>
        <v/>
      </c>
      <c r="Q1503" s="128" t="s">
        <v>2873</v>
      </c>
      <c r="R1503" s="128">
        <v>62.8</v>
      </c>
      <c r="S1503" s="130"/>
      <c r="T1503" s="130" t="s">
        <v>2874</v>
      </c>
      <c r="U1503" s="131"/>
    </row>
    <row r="1504" spans="1:21" ht="15.75" thickBot="1">
      <c r="A1504" s="123">
        <v>1401</v>
      </c>
      <c r="B1504" s="123"/>
      <c r="C1504" s="123"/>
      <c r="D1504" s="123"/>
      <c r="E1504" s="123"/>
      <c r="F1504" s="123"/>
      <c r="G1504" s="127" t="s">
        <v>357</v>
      </c>
      <c r="H1504" s="128">
        <v>2002</v>
      </c>
      <c r="I1504" s="128" t="s">
        <v>362</v>
      </c>
      <c r="J1504" s="128">
        <f t="shared" si="46"/>
        <v>2</v>
      </c>
      <c r="K1504" s="128" t="s">
        <v>2875</v>
      </c>
      <c r="L1504" s="128" t="s">
        <v>30</v>
      </c>
      <c r="M1504" s="129" t="s">
        <v>1065</v>
      </c>
      <c r="N1504" s="129" t="s">
        <v>28</v>
      </c>
      <c r="O1504" s="129"/>
      <c r="P1504" s="129" t="str">
        <f t="shared" si="47"/>
        <v/>
      </c>
      <c r="Q1504" s="128" t="s">
        <v>2872</v>
      </c>
      <c r="R1504" s="128">
        <v>37.200000000000003</v>
      </c>
      <c r="S1504" s="130"/>
      <c r="T1504" s="130" t="s">
        <v>1015</v>
      </c>
      <c r="U1504" s="131"/>
    </row>
    <row r="1505" spans="1:21" ht="15.75" thickBot="1">
      <c r="A1505" s="123">
        <v>1402</v>
      </c>
      <c r="B1505" s="123"/>
      <c r="C1505" s="123"/>
      <c r="D1505" s="123"/>
      <c r="E1505" s="123"/>
      <c r="F1505" s="123"/>
      <c r="G1505" s="127" t="s">
        <v>357</v>
      </c>
      <c r="H1505" s="128">
        <v>2002</v>
      </c>
      <c r="I1505" s="128" t="s">
        <v>365</v>
      </c>
      <c r="J1505" s="128">
        <f t="shared" si="46"/>
        <v>6</v>
      </c>
      <c r="K1505" s="128" t="s">
        <v>2876</v>
      </c>
      <c r="L1505" s="128" t="s">
        <v>30</v>
      </c>
      <c r="M1505" s="129" t="s">
        <v>1065</v>
      </c>
      <c r="N1505" s="129" t="s">
        <v>28</v>
      </c>
      <c r="O1505" s="129"/>
      <c r="P1505" s="129" t="str">
        <f t="shared" si="47"/>
        <v/>
      </c>
      <c r="Q1505" s="128" t="s">
        <v>2877</v>
      </c>
      <c r="R1505" s="128">
        <v>15.9</v>
      </c>
      <c r="S1505" s="130"/>
      <c r="T1505" s="130" t="s">
        <v>1069</v>
      </c>
      <c r="U1505" s="131"/>
    </row>
    <row r="1506" spans="1:21" ht="15.75" thickBot="1">
      <c r="A1506" s="123">
        <v>1402</v>
      </c>
      <c r="B1506" s="123"/>
      <c r="C1506" s="123"/>
      <c r="D1506" s="123"/>
      <c r="E1506" s="123"/>
      <c r="F1506" s="123"/>
      <c r="G1506" s="127" t="s">
        <v>357</v>
      </c>
      <c r="H1506" s="128">
        <v>2002</v>
      </c>
      <c r="I1506" s="128" t="s">
        <v>365</v>
      </c>
      <c r="J1506" s="128">
        <f t="shared" si="46"/>
        <v>6</v>
      </c>
      <c r="K1506" s="128" t="s">
        <v>2878</v>
      </c>
      <c r="L1506" s="128" t="s">
        <v>40</v>
      </c>
      <c r="M1506" s="129" t="s">
        <v>1003</v>
      </c>
      <c r="N1506" s="129" t="s">
        <v>28</v>
      </c>
      <c r="O1506" s="129"/>
      <c r="P1506" s="129" t="str">
        <f t="shared" si="47"/>
        <v/>
      </c>
      <c r="Q1506" s="130"/>
      <c r="R1506" s="128">
        <v>14.1</v>
      </c>
      <c r="S1506" s="130"/>
      <c r="T1506" s="130"/>
      <c r="U1506" s="131"/>
    </row>
    <row r="1507" spans="1:21" ht="15.75" thickBot="1">
      <c r="A1507" s="123">
        <v>1402</v>
      </c>
      <c r="B1507" s="123"/>
      <c r="C1507" s="123"/>
      <c r="D1507" s="123"/>
      <c r="E1507" s="123"/>
      <c r="F1507" s="123"/>
      <c r="G1507" s="127" t="s">
        <v>357</v>
      </c>
      <c r="H1507" s="128">
        <v>2002</v>
      </c>
      <c r="I1507" s="128" t="s">
        <v>365</v>
      </c>
      <c r="J1507" s="128">
        <f t="shared" si="46"/>
        <v>6</v>
      </c>
      <c r="K1507" s="128" t="s">
        <v>2879</v>
      </c>
      <c r="L1507" s="128" t="s">
        <v>40</v>
      </c>
      <c r="M1507" s="129" t="s">
        <v>31</v>
      </c>
      <c r="N1507" s="129" t="s">
        <v>28</v>
      </c>
      <c r="O1507" s="129"/>
      <c r="P1507" s="129" t="str">
        <f t="shared" si="47"/>
        <v/>
      </c>
      <c r="Q1507" s="128" t="s">
        <v>2872</v>
      </c>
      <c r="R1507" s="128">
        <v>10.1</v>
      </c>
      <c r="S1507" s="130"/>
      <c r="T1507" s="130" t="s">
        <v>31</v>
      </c>
      <c r="U1507" s="131"/>
    </row>
    <row r="1508" spans="1:21" ht="15.75" thickBot="1">
      <c r="A1508" s="123">
        <v>1402</v>
      </c>
      <c r="B1508" s="123"/>
      <c r="C1508" s="123"/>
      <c r="D1508" s="123"/>
      <c r="E1508" s="123"/>
      <c r="F1508" s="123"/>
      <c r="G1508" s="127" t="s">
        <v>357</v>
      </c>
      <c r="H1508" s="128">
        <v>2002</v>
      </c>
      <c r="I1508" s="128" t="s">
        <v>365</v>
      </c>
      <c r="J1508" s="128">
        <f t="shared" si="46"/>
        <v>6</v>
      </c>
      <c r="K1508" s="128" t="s">
        <v>382</v>
      </c>
      <c r="L1508" s="128" t="s">
        <v>30</v>
      </c>
      <c r="M1508" s="129" t="s">
        <v>1065</v>
      </c>
      <c r="N1508" s="129" t="s">
        <v>32</v>
      </c>
      <c r="O1508" s="129"/>
      <c r="P1508" s="129" t="str">
        <f t="shared" si="47"/>
        <v/>
      </c>
      <c r="Q1508" s="128" t="s">
        <v>2872</v>
      </c>
      <c r="R1508" s="128">
        <v>42.6</v>
      </c>
      <c r="S1508" s="130"/>
      <c r="T1508" s="130" t="s">
        <v>1015</v>
      </c>
      <c r="U1508" s="131"/>
    </row>
    <row r="1509" spans="1:21" ht="15.75" thickBot="1">
      <c r="A1509" s="123">
        <v>1402</v>
      </c>
      <c r="B1509" s="123"/>
      <c r="C1509" s="123"/>
      <c r="D1509" s="123"/>
      <c r="E1509" s="123"/>
      <c r="F1509" s="123"/>
      <c r="G1509" s="127" t="s">
        <v>357</v>
      </c>
      <c r="H1509" s="128">
        <v>2002</v>
      </c>
      <c r="I1509" s="128" t="s">
        <v>365</v>
      </c>
      <c r="J1509" s="128">
        <f t="shared" si="46"/>
        <v>6</v>
      </c>
      <c r="K1509" s="128" t="s">
        <v>2880</v>
      </c>
      <c r="L1509" s="128" t="s">
        <v>30</v>
      </c>
      <c r="M1509" s="129" t="s">
        <v>201</v>
      </c>
      <c r="N1509" s="129" t="s">
        <v>28</v>
      </c>
      <c r="O1509" s="129"/>
      <c r="P1509" s="129" t="str">
        <f t="shared" si="47"/>
        <v/>
      </c>
      <c r="Q1509" s="128" t="s">
        <v>2881</v>
      </c>
      <c r="R1509" s="128">
        <v>15.9</v>
      </c>
      <c r="S1509" s="130"/>
      <c r="T1509" s="130" t="s">
        <v>1069</v>
      </c>
      <c r="U1509" s="131"/>
    </row>
    <row r="1510" spans="1:21" ht="15.75" thickBot="1">
      <c r="A1510" s="123">
        <v>1402</v>
      </c>
      <c r="B1510" s="123"/>
      <c r="C1510" s="123"/>
      <c r="D1510" s="123"/>
      <c r="E1510" s="123"/>
      <c r="F1510" s="123"/>
      <c r="G1510" s="127" t="s">
        <v>357</v>
      </c>
      <c r="H1510" s="128">
        <v>2002</v>
      </c>
      <c r="I1510" s="128" t="s">
        <v>365</v>
      </c>
      <c r="J1510" s="128">
        <f t="shared" si="46"/>
        <v>6</v>
      </c>
      <c r="K1510" s="128" t="s">
        <v>2882</v>
      </c>
      <c r="L1510" s="128" t="s">
        <v>30</v>
      </c>
      <c r="M1510" s="129" t="s">
        <v>31</v>
      </c>
      <c r="N1510" s="129" t="s">
        <v>28</v>
      </c>
      <c r="O1510" s="129"/>
      <c r="P1510" s="129" t="str">
        <f t="shared" si="47"/>
        <v/>
      </c>
      <c r="Q1510" s="128" t="s">
        <v>2883</v>
      </c>
      <c r="R1510" s="128">
        <v>1.4</v>
      </c>
      <c r="S1510" s="130"/>
      <c r="T1510" s="130" t="s">
        <v>31</v>
      </c>
      <c r="U1510" s="131"/>
    </row>
    <row r="1511" spans="1:21" ht="15.75" thickBot="1">
      <c r="A1511" s="123">
        <v>1395</v>
      </c>
      <c r="B1511" s="123"/>
      <c r="C1511" s="123"/>
      <c r="D1511" s="123"/>
      <c r="E1511" s="123"/>
      <c r="F1511" s="123"/>
      <c r="G1511" s="127" t="s">
        <v>357</v>
      </c>
      <c r="H1511" s="128">
        <v>2004</v>
      </c>
      <c r="I1511" s="128" t="s">
        <v>38</v>
      </c>
      <c r="J1511" s="128">
        <f t="shared" si="46"/>
        <v>2</v>
      </c>
      <c r="K1511" s="128" t="s">
        <v>358</v>
      </c>
      <c r="L1511" s="128" t="s">
        <v>30</v>
      </c>
      <c r="M1511" s="129" t="s">
        <v>1065</v>
      </c>
      <c r="N1511" s="129" t="s">
        <v>32</v>
      </c>
      <c r="O1511" s="129"/>
      <c r="P1511" s="129" t="str">
        <f t="shared" si="47"/>
        <v/>
      </c>
      <c r="Q1511" s="130"/>
      <c r="R1511" s="128">
        <v>80.599999999999994</v>
      </c>
      <c r="S1511" s="130"/>
      <c r="T1511" s="130"/>
      <c r="U1511" s="131"/>
    </row>
    <row r="1512" spans="1:21" ht="15.75" thickBot="1">
      <c r="A1512" s="123">
        <v>1395</v>
      </c>
      <c r="B1512" s="123"/>
      <c r="C1512" s="123"/>
      <c r="D1512" s="123"/>
      <c r="E1512" s="123"/>
      <c r="F1512" s="123"/>
      <c r="G1512" s="127" t="s">
        <v>357</v>
      </c>
      <c r="H1512" s="128">
        <v>2004</v>
      </c>
      <c r="I1512" s="128" t="s">
        <v>38</v>
      </c>
      <c r="J1512" s="128">
        <f t="shared" si="46"/>
        <v>2</v>
      </c>
      <c r="K1512" s="128" t="s">
        <v>2882</v>
      </c>
      <c r="L1512" s="128" t="s">
        <v>30</v>
      </c>
      <c r="M1512" s="129" t="s">
        <v>31</v>
      </c>
      <c r="N1512" s="129" t="s">
        <v>28</v>
      </c>
      <c r="O1512" s="129"/>
      <c r="P1512" s="129" t="str">
        <f t="shared" si="47"/>
        <v/>
      </c>
      <c r="Q1512" s="128" t="s">
        <v>2883</v>
      </c>
      <c r="R1512" s="128">
        <v>19.399999999999999</v>
      </c>
      <c r="S1512" s="130"/>
      <c r="T1512" s="130" t="s">
        <v>31</v>
      </c>
      <c r="U1512" s="131"/>
    </row>
    <row r="1513" spans="1:21" ht="15.75" thickBot="1">
      <c r="A1513" s="123">
        <v>1396</v>
      </c>
      <c r="B1513" s="123"/>
      <c r="C1513" s="123"/>
      <c r="D1513" s="123"/>
      <c r="E1513" s="123"/>
      <c r="F1513" s="123"/>
      <c r="G1513" s="127" t="s">
        <v>357</v>
      </c>
      <c r="H1513" s="128">
        <v>2004</v>
      </c>
      <c r="I1513" s="128" t="s">
        <v>368</v>
      </c>
      <c r="J1513" s="128">
        <f t="shared" si="46"/>
        <v>2</v>
      </c>
      <c r="K1513" s="128" t="s">
        <v>379</v>
      </c>
      <c r="L1513" s="128" t="s">
        <v>30</v>
      </c>
      <c r="M1513" s="129" t="s">
        <v>1065</v>
      </c>
      <c r="N1513" s="129" t="s">
        <v>32</v>
      </c>
      <c r="O1513" s="129"/>
      <c r="P1513" s="129" t="str">
        <f t="shared" si="47"/>
        <v/>
      </c>
      <c r="Q1513" s="128" t="s">
        <v>2861</v>
      </c>
      <c r="R1513" s="128">
        <v>79.599999999999994</v>
      </c>
      <c r="S1513" s="130"/>
      <c r="T1513" s="130" t="s">
        <v>1015</v>
      </c>
      <c r="U1513" s="131"/>
    </row>
    <row r="1514" spans="1:21" ht="15.75" thickBot="1">
      <c r="A1514" s="123">
        <v>1396</v>
      </c>
      <c r="B1514" s="123"/>
      <c r="C1514" s="123"/>
      <c r="D1514" s="123"/>
      <c r="E1514" s="123"/>
      <c r="F1514" s="123"/>
      <c r="G1514" s="127" t="s">
        <v>357</v>
      </c>
      <c r="H1514" s="128">
        <v>2004</v>
      </c>
      <c r="I1514" s="128" t="s">
        <v>368</v>
      </c>
      <c r="J1514" s="128">
        <f t="shared" si="46"/>
        <v>2</v>
      </c>
      <c r="K1514" s="128" t="s">
        <v>2884</v>
      </c>
      <c r="L1514" s="128" t="s">
        <v>30</v>
      </c>
      <c r="M1514" s="129" t="s">
        <v>1065</v>
      </c>
      <c r="N1514" s="129" t="s">
        <v>28</v>
      </c>
      <c r="O1514" s="129"/>
      <c r="P1514" s="129" t="str">
        <f t="shared" si="47"/>
        <v/>
      </c>
      <c r="Q1514" s="128" t="s">
        <v>2885</v>
      </c>
      <c r="R1514" s="128">
        <v>20.399999999999999</v>
      </c>
      <c r="S1514" s="130"/>
      <c r="T1514" s="130" t="s">
        <v>998</v>
      </c>
      <c r="U1514" s="131"/>
    </row>
    <row r="1515" spans="1:21" ht="15.75" hidden="1" thickBot="1">
      <c r="A1515" s="123">
        <v>1397</v>
      </c>
      <c r="B1515" s="123"/>
      <c r="C1515" s="123"/>
      <c r="D1515" s="123"/>
      <c r="E1515" s="123"/>
      <c r="F1515" s="123"/>
      <c r="G1515" s="127" t="s">
        <v>357</v>
      </c>
      <c r="H1515" s="128">
        <v>2004</v>
      </c>
      <c r="I1515" s="128" t="s">
        <v>371</v>
      </c>
      <c r="J1515" s="128">
        <f t="shared" si="46"/>
        <v>2</v>
      </c>
      <c r="K1515" s="128" t="s">
        <v>377</v>
      </c>
      <c r="L1515" s="128" t="s">
        <v>30</v>
      </c>
      <c r="M1515" s="129" t="s">
        <v>1003</v>
      </c>
      <c r="N1515" s="129" t="s">
        <v>32</v>
      </c>
      <c r="O1515" s="129" t="s">
        <v>28</v>
      </c>
      <c r="P1515" s="129" t="str">
        <f t="shared" si="47"/>
        <v>N/A</v>
      </c>
      <c r="Q1515" s="130"/>
      <c r="R1515" s="128">
        <v>59.9</v>
      </c>
      <c r="S1515" s="130"/>
      <c r="T1515" s="130"/>
      <c r="U1515" s="131"/>
    </row>
    <row r="1516" spans="1:21" ht="15.75" thickBot="1">
      <c r="A1516" s="123">
        <v>1397</v>
      </c>
      <c r="B1516" s="123"/>
      <c r="C1516" s="123"/>
      <c r="D1516" s="123"/>
      <c r="E1516" s="123"/>
      <c r="F1516" s="123"/>
      <c r="G1516" s="127" t="s">
        <v>357</v>
      </c>
      <c r="H1516" s="128">
        <v>2004</v>
      </c>
      <c r="I1516" s="128" t="s">
        <v>371</v>
      </c>
      <c r="J1516" s="128">
        <f t="shared" si="46"/>
        <v>2</v>
      </c>
      <c r="K1516" s="128" t="s">
        <v>2886</v>
      </c>
      <c r="L1516" s="128" t="s">
        <v>30</v>
      </c>
      <c r="M1516" s="129" t="s">
        <v>1065</v>
      </c>
      <c r="N1516" s="129" t="s">
        <v>28</v>
      </c>
      <c r="O1516" s="129"/>
      <c r="P1516" s="129" t="str">
        <f t="shared" si="47"/>
        <v/>
      </c>
      <c r="Q1516" s="128" t="s">
        <v>2887</v>
      </c>
      <c r="R1516" s="128">
        <v>40.1</v>
      </c>
      <c r="S1516" s="130"/>
      <c r="T1516" s="130" t="s">
        <v>1069</v>
      </c>
      <c r="U1516" s="131"/>
    </row>
    <row r="1517" spans="1:21" ht="15.75" hidden="1" thickBot="1">
      <c r="A1517" s="123">
        <v>1398</v>
      </c>
      <c r="B1517" s="123"/>
      <c r="C1517" s="123"/>
      <c r="D1517" s="123"/>
      <c r="E1517" s="123"/>
      <c r="F1517" s="123"/>
      <c r="G1517" s="127" t="s">
        <v>357</v>
      </c>
      <c r="H1517" s="128">
        <v>2004</v>
      </c>
      <c r="I1517" s="128" t="s">
        <v>374</v>
      </c>
      <c r="J1517" s="128">
        <f t="shared" si="46"/>
        <v>3</v>
      </c>
      <c r="K1517" s="128" t="s">
        <v>378</v>
      </c>
      <c r="L1517" s="128" t="s">
        <v>40</v>
      </c>
      <c r="M1517" s="129" t="s">
        <v>1065</v>
      </c>
      <c r="N1517" s="129" t="s">
        <v>32</v>
      </c>
      <c r="O1517" s="129" t="s">
        <v>32</v>
      </c>
      <c r="P1517" s="129" t="str">
        <f t="shared" si="47"/>
        <v>Y</v>
      </c>
      <c r="Q1517" s="130"/>
      <c r="R1517" s="128">
        <v>57.8</v>
      </c>
      <c r="S1517" s="130"/>
      <c r="T1517" s="130"/>
      <c r="U1517" s="131"/>
    </row>
    <row r="1518" spans="1:21" ht="15.75" thickBot="1">
      <c r="A1518" s="123">
        <v>1398</v>
      </c>
      <c r="B1518" s="123"/>
      <c r="C1518" s="123"/>
      <c r="D1518" s="123"/>
      <c r="E1518" s="123"/>
      <c r="F1518" s="123"/>
      <c r="G1518" s="127" t="s">
        <v>357</v>
      </c>
      <c r="H1518" s="128">
        <v>2004</v>
      </c>
      <c r="I1518" s="128" t="s">
        <v>374</v>
      </c>
      <c r="J1518" s="128">
        <f t="shared" si="46"/>
        <v>3</v>
      </c>
      <c r="K1518" s="128" t="s">
        <v>2888</v>
      </c>
      <c r="L1518" s="128" t="s">
        <v>40</v>
      </c>
      <c r="M1518" s="129" t="s">
        <v>1065</v>
      </c>
      <c r="N1518" s="129" t="s">
        <v>28</v>
      </c>
      <c r="O1518" s="129"/>
      <c r="P1518" s="129" t="str">
        <f t="shared" si="47"/>
        <v/>
      </c>
      <c r="Q1518" s="128" t="s">
        <v>2889</v>
      </c>
      <c r="R1518" s="128">
        <v>18.899999999999999</v>
      </c>
      <c r="S1518" s="130"/>
      <c r="T1518" s="130" t="s">
        <v>1015</v>
      </c>
      <c r="U1518" s="131"/>
    </row>
    <row r="1519" spans="1:21" ht="15.75" thickBot="1">
      <c r="A1519" s="123">
        <v>1398</v>
      </c>
      <c r="B1519" s="123"/>
      <c r="C1519" s="123"/>
      <c r="D1519" s="123"/>
      <c r="E1519" s="123"/>
      <c r="F1519" s="123"/>
      <c r="G1519" s="127" t="s">
        <v>357</v>
      </c>
      <c r="H1519" s="128">
        <v>2004</v>
      </c>
      <c r="I1519" s="128" t="s">
        <v>374</v>
      </c>
      <c r="J1519" s="128">
        <f t="shared" si="46"/>
        <v>3</v>
      </c>
      <c r="K1519" s="128" t="s">
        <v>376</v>
      </c>
      <c r="L1519" s="128" t="s">
        <v>30</v>
      </c>
      <c r="M1519" s="129" t="s">
        <v>1065</v>
      </c>
      <c r="N1519" s="129" t="s">
        <v>28</v>
      </c>
      <c r="O1519" s="129"/>
      <c r="P1519" s="129" t="str">
        <f t="shared" si="47"/>
        <v/>
      </c>
      <c r="Q1519" s="130"/>
      <c r="R1519" s="128">
        <v>23.4</v>
      </c>
      <c r="S1519" s="130"/>
      <c r="T1519" s="130"/>
      <c r="U1519" s="131"/>
    </row>
    <row r="1520" spans="1:21" ht="15.75" thickBot="1">
      <c r="A1520" s="123">
        <v>1391</v>
      </c>
      <c r="B1520" s="123"/>
      <c r="C1520" s="123"/>
      <c r="D1520" s="123"/>
      <c r="E1520" s="123"/>
      <c r="F1520" s="123"/>
      <c r="G1520" s="127" t="s">
        <v>357</v>
      </c>
      <c r="H1520" s="128">
        <v>2006</v>
      </c>
      <c r="I1520" s="128" t="s">
        <v>38</v>
      </c>
      <c r="J1520" s="128">
        <f t="shared" si="46"/>
        <v>3</v>
      </c>
      <c r="K1520" s="128" t="s">
        <v>358</v>
      </c>
      <c r="L1520" s="128" t="s">
        <v>30</v>
      </c>
      <c r="M1520" s="129" t="s">
        <v>1065</v>
      </c>
      <c r="N1520" s="129" t="s">
        <v>32</v>
      </c>
      <c r="O1520" s="129"/>
      <c r="P1520" s="129" t="str">
        <f t="shared" si="47"/>
        <v/>
      </c>
      <c r="Q1520" s="130"/>
      <c r="R1520" s="128">
        <v>68.8</v>
      </c>
      <c r="S1520" s="130"/>
      <c r="T1520" s="130"/>
      <c r="U1520" s="131"/>
    </row>
    <row r="1521" spans="1:21" ht="15.75" thickBot="1">
      <c r="A1521" s="123">
        <v>1391</v>
      </c>
      <c r="B1521" s="123"/>
      <c r="C1521" s="123"/>
      <c r="D1521" s="123"/>
      <c r="E1521" s="123"/>
      <c r="F1521" s="123"/>
      <c r="G1521" s="127" t="s">
        <v>357</v>
      </c>
      <c r="H1521" s="128">
        <v>2006</v>
      </c>
      <c r="I1521" s="128" t="s">
        <v>38</v>
      </c>
      <c r="J1521" s="128">
        <f t="shared" si="46"/>
        <v>3</v>
      </c>
      <c r="K1521" s="128" t="s">
        <v>2882</v>
      </c>
      <c r="L1521" s="128" t="s">
        <v>30</v>
      </c>
      <c r="M1521" s="129" t="s">
        <v>31</v>
      </c>
      <c r="N1521" s="129" t="s">
        <v>28</v>
      </c>
      <c r="O1521" s="129"/>
      <c r="P1521" s="129" t="str">
        <f t="shared" si="47"/>
        <v/>
      </c>
      <c r="Q1521" s="128" t="s">
        <v>2883</v>
      </c>
      <c r="R1521" s="128">
        <v>6.7</v>
      </c>
      <c r="S1521" s="130"/>
      <c r="T1521" s="130" t="s">
        <v>31</v>
      </c>
      <c r="U1521" s="131"/>
    </row>
    <row r="1522" spans="1:21" ht="15.75" thickBot="1">
      <c r="A1522" s="123">
        <v>1391</v>
      </c>
      <c r="B1522" s="123"/>
      <c r="C1522" s="123"/>
      <c r="D1522" s="123"/>
      <c r="E1522" s="123"/>
      <c r="F1522" s="123"/>
      <c r="G1522" s="127" t="s">
        <v>357</v>
      </c>
      <c r="H1522" s="128">
        <v>2006</v>
      </c>
      <c r="I1522" s="128" t="s">
        <v>38</v>
      </c>
      <c r="J1522" s="128">
        <f t="shared" si="46"/>
        <v>3</v>
      </c>
      <c r="K1522" s="128" t="s">
        <v>2890</v>
      </c>
      <c r="L1522" s="128" t="s">
        <v>30</v>
      </c>
      <c r="M1522" s="129" t="s">
        <v>31</v>
      </c>
      <c r="N1522" s="129" t="s">
        <v>28</v>
      </c>
      <c r="O1522" s="129"/>
      <c r="P1522" s="129" t="str">
        <f t="shared" si="47"/>
        <v/>
      </c>
      <c r="Q1522" s="128" t="s">
        <v>2883</v>
      </c>
      <c r="R1522" s="128">
        <v>24.5</v>
      </c>
      <c r="S1522" s="130"/>
      <c r="T1522" s="130" t="s">
        <v>31</v>
      </c>
      <c r="U1522" s="131"/>
    </row>
    <row r="1523" spans="1:21" ht="15.75" thickBot="1">
      <c r="A1523" s="123">
        <v>1392</v>
      </c>
      <c r="B1523" s="123"/>
      <c r="C1523" s="123"/>
      <c r="D1523" s="123"/>
      <c r="E1523" s="123"/>
      <c r="F1523" s="123"/>
      <c r="G1523" s="127" t="s">
        <v>357</v>
      </c>
      <c r="H1523" s="128">
        <v>2006</v>
      </c>
      <c r="I1523" s="128" t="s">
        <v>359</v>
      </c>
      <c r="J1523" s="128">
        <f t="shared" si="46"/>
        <v>4</v>
      </c>
      <c r="K1523" s="128" t="s">
        <v>2891</v>
      </c>
      <c r="L1523" s="128" t="s">
        <v>40</v>
      </c>
      <c r="M1523" s="129" t="s">
        <v>31</v>
      </c>
      <c r="N1523" s="129" t="s">
        <v>28</v>
      </c>
      <c r="O1523" s="129"/>
      <c r="P1523" s="129" t="str">
        <f t="shared" si="47"/>
        <v/>
      </c>
      <c r="Q1523" s="128" t="s">
        <v>2892</v>
      </c>
      <c r="R1523" s="128">
        <v>30.2</v>
      </c>
      <c r="S1523" s="130"/>
      <c r="T1523" s="130" t="s">
        <v>31</v>
      </c>
      <c r="U1523" s="131"/>
    </row>
    <row r="1524" spans="1:21" ht="26.25" thickBot="1">
      <c r="A1524" s="123">
        <v>1392</v>
      </c>
      <c r="B1524" s="123"/>
      <c r="C1524" s="123"/>
      <c r="D1524" s="123"/>
      <c r="E1524" s="123"/>
      <c r="F1524" s="123"/>
      <c r="G1524" s="127" t="s">
        <v>357</v>
      </c>
      <c r="H1524" s="128">
        <v>2006</v>
      </c>
      <c r="I1524" s="128" t="s">
        <v>359</v>
      </c>
      <c r="J1524" s="128">
        <f t="shared" si="46"/>
        <v>4</v>
      </c>
      <c r="K1524" s="128" t="s">
        <v>2893</v>
      </c>
      <c r="L1524" s="128" t="s">
        <v>30</v>
      </c>
      <c r="M1524" s="129" t="s">
        <v>1065</v>
      </c>
      <c r="N1524" s="129" t="s">
        <v>28</v>
      </c>
      <c r="O1524" s="129"/>
      <c r="P1524" s="129" t="str">
        <f t="shared" si="47"/>
        <v/>
      </c>
      <c r="Q1524" s="128" t="s">
        <v>2894</v>
      </c>
      <c r="R1524" s="128">
        <v>27.8</v>
      </c>
      <c r="S1524" s="130"/>
      <c r="T1524" s="130" t="s">
        <v>2866</v>
      </c>
      <c r="U1524" s="131"/>
    </row>
    <row r="1525" spans="1:21" ht="15.75" thickBot="1">
      <c r="A1525" s="123">
        <v>1392</v>
      </c>
      <c r="B1525" s="123"/>
      <c r="C1525" s="123"/>
      <c r="D1525" s="123"/>
      <c r="E1525" s="123"/>
      <c r="F1525" s="123"/>
      <c r="G1525" s="127" t="s">
        <v>357</v>
      </c>
      <c r="H1525" s="128">
        <v>2006</v>
      </c>
      <c r="I1525" s="128" t="s">
        <v>359</v>
      </c>
      <c r="J1525" s="128">
        <f t="shared" si="46"/>
        <v>4</v>
      </c>
      <c r="K1525" s="128" t="s">
        <v>361</v>
      </c>
      <c r="L1525" s="128" t="s">
        <v>40</v>
      </c>
      <c r="M1525" s="129" t="s">
        <v>1065</v>
      </c>
      <c r="N1525" s="129" t="s">
        <v>32</v>
      </c>
      <c r="O1525" s="129"/>
      <c r="P1525" s="129" t="str">
        <f t="shared" si="47"/>
        <v/>
      </c>
      <c r="Q1525" s="130"/>
      <c r="R1525" s="128">
        <v>32.6</v>
      </c>
      <c r="S1525" s="130"/>
      <c r="T1525" s="130"/>
      <c r="U1525" s="131"/>
    </row>
    <row r="1526" spans="1:21" ht="26.25" thickBot="1">
      <c r="A1526" s="123">
        <v>1392</v>
      </c>
      <c r="B1526" s="123"/>
      <c r="C1526" s="123"/>
      <c r="D1526" s="123"/>
      <c r="E1526" s="123"/>
      <c r="F1526" s="123"/>
      <c r="G1526" s="127" t="s">
        <v>357</v>
      </c>
      <c r="H1526" s="128">
        <v>2006</v>
      </c>
      <c r="I1526" s="128" t="s">
        <v>359</v>
      </c>
      <c r="J1526" s="128">
        <f t="shared" si="46"/>
        <v>4</v>
      </c>
      <c r="K1526" s="128" t="s">
        <v>2895</v>
      </c>
      <c r="L1526" s="128" t="s">
        <v>40</v>
      </c>
      <c r="M1526" s="129" t="s">
        <v>1065</v>
      </c>
      <c r="N1526" s="129" t="s">
        <v>28</v>
      </c>
      <c r="O1526" s="129"/>
      <c r="P1526" s="129" t="str">
        <f t="shared" si="47"/>
        <v/>
      </c>
      <c r="Q1526" s="128" t="s">
        <v>2896</v>
      </c>
      <c r="R1526" s="128">
        <v>9.4</v>
      </c>
      <c r="S1526" s="130"/>
      <c r="T1526" s="130" t="s">
        <v>2866</v>
      </c>
      <c r="U1526" s="131"/>
    </row>
    <row r="1527" spans="1:21" ht="15.75" thickBot="1">
      <c r="A1527" s="123">
        <v>1393</v>
      </c>
      <c r="B1527" s="123"/>
      <c r="C1527" s="123"/>
      <c r="D1527" s="123"/>
      <c r="E1527" s="123"/>
      <c r="F1527" s="123"/>
      <c r="G1527" s="127" t="s">
        <v>357</v>
      </c>
      <c r="H1527" s="128">
        <v>2006</v>
      </c>
      <c r="I1527" s="128" t="s">
        <v>362</v>
      </c>
      <c r="J1527" s="128">
        <f t="shared" si="46"/>
        <v>2</v>
      </c>
      <c r="K1527" s="128" t="s">
        <v>364</v>
      </c>
      <c r="L1527" s="128" t="s">
        <v>30</v>
      </c>
      <c r="M1527" s="129" t="s">
        <v>1065</v>
      </c>
      <c r="N1527" s="129" t="s">
        <v>32</v>
      </c>
      <c r="O1527" s="129"/>
      <c r="P1527" s="129" t="str">
        <f t="shared" si="47"/>
        <v/>
      </c>
      <c r="Q1527" s="130"/>
      <c r="R1527" s="128">
        <v>65.2</v>
      </c>
      <c r="S1527" s="130"/>
      <c r="T1527" s="130"/>
      <c r="U1527" s="131"/>
    </row>
    <row r="1528" spans="1:21" ht="15.75" thickBot="1">
      <c r="A1528" s="123">
        <v>1393</v>
      </c>
      <c r="B1528" s="123"/>
      <c r="C1528" s="123"/>
      <c r="D1528" s="123"/>
      <c r="E1528" s="123"/>
      <c r="F1528" s="123"/>
      <c r="G1528" s="127" t="s">
        <v>357</v>
      </c>
      <c r="H1528" s="128">
        <v>2006</v>
      </c>
      <c r="I1528" s="128" t="s">
        <v>362</v>
      </c>
      <c r="J1528" s="128">
        <f t="shared" si="46"/>
        <v>2</v>
      </c>
      <c r="K1528" s="128" t="s">
        <v>2897</v>
      </c>
      <c r="L1528" s="128" t="s">
        <v>40</v>
      </c>
      <c r="M1528" s="129" t="s">
        <v>1065</v>
      </c>
      <c r="N1528" s="129" t="s">
        <v>28</v>
      </c>
      <c r="O1528" s="129"/>
      <c r="P1528" s="129" t="str">
        <f t="shared" si="47"/>
        <v/>
      </c>
      <c r="Q1528" s="128" t="s">
        <v>2898</v>
      </c>
      <c r="R1528" s="128">
        <v>34.799999999999997</v>
      </c>
      <c r="S1528" s="130"/>
      <c r="T1528" s="130" t="s">
        <v>1069</v>
      </c>
      <c r="U1528" s="131"/>
    </row>
    <row r="1529" spans="1:21" ht="15.75" thickBot="1">
      <c r="A1529" s="123">
        <v>1394</v>
      </c>
      <c r="B1529" s="123"/>
      <c r="C1529" s="123"/>
      <c r="D1529" s="123"/>
      <c r="E1529" s="123"/>
      <c r="F1529" s="123"/>
      <c r="G1529" s="127" t="s">
        <v>357</v>
      </c>
      <c r="H1529" s="128">
        <v>2006</v>
      </c>
      <c r="I1529" s="128" t="s">
        <v>365</v>
      </c>
      <c r="J1529" s="128">
        <f t="shared" si="46"/>
        <v>3</v>
      </c>
      <c r="K1529" s="128" t="s">
        <v>2899</v>
      </c>
      <c r="L1529" s="128" t="s">
        <v>30</v>
      </c>
      <c r="M1529" s="129" t="s">
        <v>31</v>
      </c>
      <c r="N1529" s="129" t="s">
        <v>28</v>
      </c>
      <c r="O1529" s="129"/>
      <c r="P1529" s="129" t="str">
        <f t="shared" si="47"/>
        <v/>
      </c>
      <c r="Q1529" s="130"/>
      <c r="R1529" s="128">
        <v>16.899999999999999</v>
      </c>
      <c r="S1529" s="130"/>
      <c r="T1529" s="130"/>
      <c r="U1529" s="131"/>
    </row>
    <row r="1530" spans="1:21" ht="15.75" thickBot="1">
      <c r="A1530" s="123">
        <v>1394</v>
      </c>
      <c r="B1530" s="123"/>
      <c r="C1530" s="123"/>
      <c r="D1530" s="123"/>
      <c r="E1530" s="123"/>
      <c r="F1530" s="123"/>
      <c r="G1530" s="127" t="s">
        <v>357</v>
      </c>
      <c r="H1530" s="128">
        <v>2006</v>
      </c>
      <c r="I1530" s="128" t="s">
        <v>365</v>
      </c>
      <c r="J1530" s="128">
        <f t="shared" si="46"/>
        <v>3</v>
      </c>
      <c r="K1530" s="128" t="s">
        <v>2878</v>
      </c>
      <c r="L1530" s="128" t="s">
        <v>40</v>
      </c>
      <c r="M1530" s="129" t="s">
        <v>1003</v>
      </c>
      <c r="N1530" s="129" t="s">
        <v>28</v>
      </c>
      <c r="O1530" s="129"/>
      <c r="P1530" s="129" t="str">
        <f t="shared" si="47"/>
        <v/>
      </c>
      <c r="Q1530" s="130"/>
      <c r="R1530" s="128">
        <v>40.200000000000003</v>
      </c>
      <c r="S1530" s="130"/>
      <c r="T1530" s="130"/>
      <c r="U1530" s="131"/>
    </row>
    <row r="1531" spans="1:21" ht="15.75" thickBot="1">
      <c r="A1531" s="123">
        <v>1394</v>
      </c>
      <c r="B1531" s="123"/>
      <c r="C1531" s="123"/>
      <c r="D1531" s="123"/>
      <c r="E1531" s="123"/>
      <c r="F1531" s="123"/>
      <c r="G1531" s="127" t="s">
        <v>357</v>
      </c>
      <c r="H1531" s="128">
        <v>2006</v>
      </c>
      <c r="I1531" s="128" t="s">
        <v>365</v>
      </c>
      <c r="J1531" s="128">
        <f t="shared" si="46"/>
        <v>3</v>
      </c>
      <c r="K1531" s="128" t="s">
        <v>367</v>
      </c>
      <c r="L1531" s="128" t="s">
        <v>30</v>
      </c>
      <c r="M1531" s="129" t="s">
        <v>1065</v>
      </c>
      <c r="N1531" s="129" t="s">
        <v>32</v>
      </c>
      <c r="O1531" s="129"/>
      <c r="P1531" s="129" t="str">
        <f t="shared" si="47"/>
        <v/>
      </c>
      <c r="Q1531" s="130"/>
      <c r="R1531" s="128">
        <v>42.9</v>
      </c>
      <c r="S1531" s="130"/>
      <c r="T1531" s="130"/>
      <c r="U1531" s="131"/>
    </row>
    <row r="1532" spans="1:21" ht="15.75" thickBot="1">
      <c r="A1532" s="123">
        <v>1387</v>
      </c>
      <c r="B1532" s="123"/>
      <c r="C1532" s="123"/>
      <c r="D1532" s="123"/>
      <c r="E1532" s="123"/>
      <c r="F1532" s="123"/>
      <c r="G1532" s="127" t="s">
        <v>357</v>
      </c>
      <c r="H1532" s="128">
        <v>2008</v>
      </c>
      <c r="I1532" s="128" t="s">
        <v>38</v>
      </c>
      <c r="J1532" s="128">
        <f t="shared" si="46"/>
        <v>4</v>
      </c>
      <c r="K1532" s="128" t="s">
        <v>2899</v>
      </c>
      <c r="L1532" s="128" t="s">
        <v>30</v>
      </c>
      <c r="M1532" s="129" t="s">
        <v>31</v>
      </c>
      <c r="N1532" s="129" t="s">
        <v>28</v>
      </c>
      <c r="O1532" s="129"/>
      <c r="P1532" s="129" t="str">
        <f t="shared" si="47"/>
        <v/>
      </c>
      <c r="Q1532" s="130"/>
      <c r="R1532" s="128">
        <v>13.8</v>
      </c>
      <c r="S1532" s="130"/>
      <c r="T1532" s="130"/>
      <c r="U1532" s="131"/>
    </row>
    <row r="1533" spans="1:21" ht="15.75" thickBot="1">
      <c r="A1533" s="123">
        <v>1387</v>
      </c>
      <c r="B1533" s="123"/>
      <c r="C1533" s="123"/>
      <c r="D1533" s="123"/>
      <c r="E1533" s="123"/>
      <c r="F1533" s="123"/>
      <c r="G1533" s="127" t="s">
        <v>357</v>
      </c>
      <c r="H1533" s="128">
        <v>2008</v>
      </c>
      <c r="I1533" s="128" t="s">
        <v>38</v>
      </c>
      <c r="J1533" s="128">
        <f t="shared" si="46"/>
        <v>4</v>
      </c>
      <c r="K1533" s="128" t="s">
        <v>361</v>
      </c>
      <c r="L1533" s="128" t="s">
        <v>40</v>
      </c>
      <c r="M1533" s="129" t="s">
        <v>1065</v>
      </c>
      <c r="N1533" s="129" t="s">
        <v>28</v>
      </c>
      <c r="O1533" s="129"/>
      <c r="P1533" s="129" t="str">
        <f t="shared" si="47"/>
        <v/>
      </c>
      <c r="Q1533" s="130"/>
      <c r="R1533" s="128">
        <v>29.3</v>
      </c>
      <c r="S1533" s="130"/>
      <c r="T1533" s="130"/>
      <c r="U1533" s="131"/>
    </row>
    <row r="1534" spans="1:21" ht="15.75" thickBot="1">
      <c r="A1534" s="123">
        <v>1387</v>
      </c>
      <c r="B1534" s="123"/>
      <c r="C1534" s="123"/>
      <c r="D1534" s="123"/>
      <c r="E1534" s="123"/>
      <c r="F1534" s="123"/>
      <c r="G1534" s="127" t="s">
        <v>357</v>
      </c>
      <c r="H1534" s="128">
        <v>2008</v>
      </c>
      <c r="I1534" s="128" t="s">
        <v>38</v>
      </c>
      <c r="J1534" s="128">
        <f t="shared" si="46"/>
        <v>4</v>
      </c>
      <c r="K1534" s="128" t="s">
        <v>358</v>
      </c>
      <c r="L1534" s="128" t="s">
        <v>30</v>
      </c>
      <c r="M1534" s="129" t="s">
        <v>1065</v>
      </c>
      <c r="N1534" s="129" t="s">
        <v>32</v>
      </c>
      <c r="O1534" s="129"/>
      <c r="P1534" s="129" t="str">
        <f t="shared" si="47"/>
        <v/>
      </c>
      <c r="Q1534" s="130"/>
      <c r="R1534" s="128">
        <v>55</v>
      </c>
      <c r="S1534" s="130"/>
      <c r="T1534" s="130"/>
      <c r="U1534" s="131"/>
    </row>
    <row r="1535" spans="1:21" ht="15.75" thickBot="1">
      <c r="A1535" s="123">
        <v>1387</v>
      </c>
      <c r="B1535" s="123"/>
      <c r="C1535" s="123"/>
      <c r="D1535" s="123"/>
      <c r="E1535" s="123"/>
      <c r="F1535" s="123"/>
      <c r="G1535" s="127" t="s">
        <v>357</v>
      </c>
      <c r="H1535" s="128">
        <v>2008</v>
      </c>
      <c r="I1535" s="128" t="s">
        <v>38</v>
      </c>
      <c r="J1535" s="128">
        <f t="shared" si="46"/>
        <v>4</v>
      </c>
      <c r="K1535" s="128" t="s">
        <v>2882</v>
      </c>
      <c r="L1535" s="128" t="s">
        <v>30</v>
      </c>
      <c r="M1535" s="129" t="s">
        <v>31</v>
      </c>
      <c r="N1535" s="129" t="s">
        <v>28</v>
      </c>
      <c r="O1535" s="129"/>
      <c r="P1535" s="129" t="str">
        <f t="shared" si="47"/>
        <v/>
      </c>
      <c r="Q1535" s="128" t="s">
        <v>2883</v>
      </c>
      <c r="R1535" s="128">
        <v>1.9</v>
      </c>
      <c r="S1535" s="130"/>
      <c r="T1535" s="130" t="s">
        <v>31</v>
      </c>
      <c r="U1535" s="131"/>
    </row>
    <row r="1536" spans="1:21" ht="15.75" thickBot="1">
      <c r="A1536" s="123">
        <v>1388</v>
      </c>
      <c r="B1536" s="123"/>
      <c r="C1536" s="123"/>
      <c r="D1536" s="123"/>
      <c r="E1536" s="123"/>
      <c r="F1536" s="123"/>
      <c r="G1536" s="127" t="s">
        <v>357</v>
      </c>
      <c r="H1536" s="128">
        <v>2008</v>
      </c>
      <c r="I1536" s="128" t="s">
        <v>368</v>
      </c>
      <c r="J1536" s="128">
        <f t="shared" si="46"/>
        <v>2</v>
      </c>
      <c r="K1536" s="128" t="s">
        <v>2900</v>
      </c>
      <c r="L1536" s="128" t="s">
        <v>30</v>
      </c>
      <c r="M1536" s="129" t="s">
        <v>31</v>
      </c>
      <c r="N1536" s="129" t="s">
        <v>28</v>
      </c>
      <c r="O1536" s="129"/>
      <c r="P1536" s="129" t="str">
        <f t="shared" si="47"/>
        <v/>
      </c>
      <c r="Q1536" s="128" t="s">
        <v>2901</v>
      </c>
      <c r="R1536" s="128">
        <v>37.299999999999997</v>
      </c>
      <c r="S1536" s="130"/>
      <c r="T1536" s="130" t="s">
        <v>31</v>
      </c>
      <c r="U1536" s="131"/>
    </row>
    <row r="1537" spans="1:21" ht="15.75" thickBot="1">
      <c r="A1537" s="123">
        <v>1388</v>
      </c>
      <c r="B1537" s="123"/>
      <c r="C1537" s="123"/>
      <c r="D1537" s="123"/>
      <c r="E1537" s="123"/>
      <c r="F1537" s="123"/>
      <c r="G1537" s="127" t="s">
        <v>357</v>
      </c>
      <c r="H1537" s="128">
        <v>2008</v>
      </c>
      <c r="I1537" s="128" t="s">
        <v>368</v>
      </c>
      <c r="J1537" s="128">
        <f t="shared" si="46"/>
        <v>2</v>
      </c>
      <c r="K1537" s="128" t="s">
        <v>370</v>
      </c>
      <c r="L1537" s="128" t="s">
        <v>30</v>
      </c>
      <c r="M1537" s="129" t="s">
        <v>1065</v>
      </c>
      <c r="N1537" s="129" t="s">
        <v>32</v>
      </c>
      <c r="O1537" s="129"/>
      <c r="P1537" s="129" t="str">
        <f t="shared" si="47"/>
        <v/>
      </c>
      <c r="Q1537" s="130"/>
      <c r="R1537" s="128">
        <v>62.7</v>
      </c>
      <c r="S1537" s="130"/>
      <c r="T1537" s="130"/>
      <c r="U1537" s="131"/>
    </row>
    <row r="1538" spans="1:21" ht="15.75" thickBot="1">
      <c r="A1538" s="123">
        <v>1389</v>
      </c>
      <c r="B1538" s="123"/>
      <c r="C1538" s="123"/>
      <c r="D1538" s="123"/>
      <c r="E1538" s="123"/>
      <c r="F1538" s="123"/>
      <c r="G1538" s="127" t="s">
        <v>357</v>
      </c>
      <c r="H1538" s="128">
        <v>2008</v>
      </c>
      <c r="I1538" s="128" t="s">
        <v>371</v>
      </c>
      <c r="J1538" s="128">
        <f t="shared" ref="J1538:J1601" si="48">COUNTIF(A$2:A$2215, A1538)</f>
        <v>4</v>
      </c>
      <c r="K1538" s="128" t="s">
        <v>2902</v>
      </c>
      <c r="L1538" s="128" t="s">
        <v>40</v>
      </c>
      <c r="M1538" s="129" t="s">
        <v>1065</v>
      </c>
      <c r="N1538" s="129" t="s">
        <v>28</v>
      </c>
      <c r="O1538" s="129"/>
      <c r="P1538" s="129" t="str">
        <f t="shared" si="47"/>
        <v/>
      </c>
      <c r="Q1538" s="128" t="s">
        <v>2903</v>
      </c>
      <c r="R1538" s="128">
        <v>12.9</v>
      </c>
      <c r="S1538" s="130"/>
      <c r="T1538" s="130" t="s">
        <v>1069</v>
      </c>
      <c r="U1538" s="131"/>
    </row>
    <row r="1539" spans="1:21" ht="15.75" thickBot="1">
      <c r="A1539" s="123">
        <v>1389</v>
      </c>
      <c r="B1539" s="123"/>
      <c r="C1539" s="123"/>
      <c r="D1539" s="123"/>
      <c r="E1539" s="123"/>
      <c r="F1539" s="123"/>
      <c r="G1539" s="127" t="s">
        <v>357</v>
      </c>
      <c r="H1539" s="128">
        <v>2008</v>
      </c>
      <c r="I1539" s="128" t="s">
        <v>371</v>
      </c>
      <c r="J1539" s="128">
        <f t="shared" si="48"/>
        <v>4</v>
      </c>
      <c r="K1539" s="128" t="s">
        <v>2904</v>
      </c>
      <c r="L1539" s="128" t="s">
        <v>30</v>
      </c>
      <c r="M1539" s="129" t="s">
        <v>1065</v>
      </c>
      <c r="N1539" s="129" t="s">
        <v>28</v>
      </c>
      <c r="O1539" s="129"/>
      <c r="P1539" s="129" t="str">
        <f t="shared" ref="P1539:P1602" si="49">IF(O1539="N", "N/A", IF(AND(N1539="N",  O1539="Y"), "N", IF(AND(O1539="Y", N1539="Y"), "Y", "")))</f>
        <v/>
      </c>
      <c r="Q1539" s="128" t="s">
        <v>2861</v>
      </c>
      <c r="R1539" s="128">
        <v>19.399999999999999</v>
      </c>
      <c r="S1539" s="130"/>
      <c r="T1539" s="130" t="s">
        <v>1015</v>
      </c>
      <c r="U1539" s="131"/>
    </row>
    <row r="1540" spans="1:21" ht="15.75" thickBot="1">
      <c r="A1540" s="123">
        <v>1389</v>
      </c>
      <c r="B1540" s="123"/>
      <c r="C1540" s="123"/>
      <c r="D1540" s="123"/>
      <c r="E1540" s="123"/>
      <c r="F1540" s="123"/>
      <c r="G1540" s="127" t="s">
        <v>357</v>
      </c>
      <c r="H1540" s="128">
        <v>2008</v>
      </c>
      <c r="I1540" s="128" t="s">
        <v>371</v>
      </c>
      <c r="J1540" s="128">
        <f t="shared" si="48"/>
        <v>4</v>
      </c>
      <c r="K1540" s="128" t="s">
        <v>2857</v>
      </c>
      <c r="L1540" s="128" t="s">
        <v>30</v>
      </c>
      <c r="M1540" s="129" t="s">
        <v>31</v>
      </c>
      <c r="N1540" s="129" t="s">
        <v>28</v>
      </c>
      <c r="O1540" s="129"/>
      <c r="P1540" s="129" t="str">
        <f t="shared" si="49"/>
        <v/>
      </c>
      <c r="Q1540" s="130"/>
      <c r="R1540" s="128">
        <v>17.8</v>
      </c>
      <c r="S1540" s="130"/>
      <c r="T1540" s="130"/>
      <c r="U1540" s="131"/>
    </row>
    <row r="1541" spans="1:21" ht="15.75" hidden="1" thickBot="1">
      <c r="A1541" s="123">
        <v>1389</v>
      </c>
      <c r="B1541" s="123"/>
      <c r="C1541" s="123"/>
      <c r="D1541" s="123"/>
      <c r="E1541" s="123"/>
      <c r="F1541" s="123"/>
      <c r="G1541" s="127" t="s">
        <v>357</v>
      </c>
      <c r="H1541" s="128">
        <v>2008</v>
      </c>
      <c r="I1541" s="128" t="s">
        <v>371</v>
      </c>
      <c r="J1541" s="128">
        <f t="shared" si="48"/>
        <v>4</v>
      </c>
      <c r="K1541" s="128" t="s">
        <v>377</v>
      </c>
      <c r="L1541" s="128" t="s">
        <v>30</v>
      </c>
      <c r="M1541" s="129" t="s">
        <v>1003</v>
      </c>
      <c r="N1541" s="129" t="s">
        <v>32</v>
      </c>
      <c r="O1541" s="129" t="s">
        <v>32</v>
      </c>
      <c r="P1541" s="129" t="str">
        <f t="shared" si="49"/>
        <v>Y</v>
      </c>
      <c r="Q1541" s="128" t="s">
        <v>2905</v>
      </c>
      <c r="R1541" s="128">
        <v>49.9</v>
      </c>
      <c r="S1541" s="130"/>
      <c r="T1541" s="130"/>
      <c r="U1541" s="131"/>
    </row>
    <row r="1542" spans="1:21" ht="15.75" thickBot="1">
      <c r="A1542" s="123">
        <v>1390</v>
      </c>
      <c r="B1542" s="123"/>
      <c r="C1542" s="123"/>
      <c r="D1542" s="123"/>
      <c r="E1542" s="123"/>
      <c r="F1542" s="123"/>
      <c r="G1542" s="127" t="s">
        <v>357</v>
      </c>
      <c r="H1542" s="128">
        <v>2008</v>
      </c>
      <c r="I1542" s="128" t="s">
        <v>374</v>
      </c>
      <c r="J1542" s="128">
        <f t="shared" si="48"/>
        <v>2</v>
      </c>
      <c r="K1542" s="128" t="s">
        <v>2906</v>
      </c>
      <c r="L1542" s="128" t="s">
        <v>40</v>
      </c>
      <c r="M1542" s="129" t="s">
        <v>1003</v>
      </c>
      <c r="N1542" s="129" t="s">
        <v>28</v>
      </c>
      <c r="O1542" s="129"/>
      <c r="P1542" s="129" t="str">
        <f t="shared" si="49"/>
        <v/>
      </c>
      <c r="Q1542" s="128" t="s">
        <v>2907</v>
      </c>
      <c r="R1542" s="128">
        <v>21.4</v>
      </c>
      <c r="S1542" s="130"/>
      <c r="T1542" s="130"/>
      <c r="U1542" s="131"/>
    </row>
    <row r="1543" spans="1:21" ht="15.75" hidden="1" thickBot="1">
      <c r="A1543" s="123">
        <v>1390</v>
      </c>
      <c r="B1543" s="123"/>
      <c r="C1543" s="123"/>
      <c r="D1543" s="123"/>
      <c r="E1543" s="123"/>
      <c r="F1543" s="123"/>
      <c r="G1543" s="127" t="s">
        <v>357</v>
      </c>
      <c r="H1543" s="128">
        <v>2008</v>
      </c>
      <c r="I1543" s="128" t="s">
        <v>374</v>
      </c>
      <c r="J1543" s="128">
        <f t="shared" si="48"/>
        <v>2</v>
      </c>
      <c r="K1543" s="128" t="s">
        <v>378</v>
      </c>
      <c r="L1543" s="128" t="s">
        <v>40</v>
      </c>
      <c r="M1543" s="129" t="s">
        <v>1065</v>
      </c>
      <c r="N1543" s="129" t="s">
        <v>32</v>
      </c>
      <c r="O1543" s="129" t="s">
        <v>32</v>
      </c>
      <c r="P1543" s="129" t="str">
        <f t="shared" si="49"/>
        <v>Y</v>
      </c>
      <c r="Q1543" s="130"/>
      <c r="R1543" s="128">
        <v>78.599999999999994</v>
      </c>
      <c r="S1543" s="130"/>
      <c r="T1543" s="130"/>
      <c r="U1543" s="131"/>
    </row>
    <row r="1544" spans="1:21" ht="26.25" thickBot="1">
      <c r="A1544" s="123">
        <v>1383</v>
      </c>
      <c r="B1544" s="123"/>
      <c r="C1544" s="123"/>
      <c r="D1544" s="123"/>
      <c r="E1544" s="123"/>
      <c r="F1544" s="123"/>
      <c r="G1544" s="127" t="s">
        <v>357</v>
      </c>
      <c r="H1544" s="128">
        <v>2010</v>
      </c>
      <c r="I1544" s="128" t="s">
        <v>38</v>
      </c>
      <c r="J1544" s="128">
        <f t="shared" si="48"/>
        <v>5</v>
      </c>
      <c r="K1544" s="128" t="s">
        <v>2908</v>
      </c>
      <c r="L1544" s="128" t="s">
        <v>30</v>
      </c>
      <c r="M1544" s="129" t="s">
        <v>1065</v>
      </c>
      <c r="N1544" s="129" t="s">
        <v>28</v>
      </c>
      <c r="O1544" s="129"/>
      <c r="P1544" s="129" t="str">
        <f t="shared" si="49"/>
        <v/>
      </c>
      <c r="Q1544" s="128" t="s">
        <v>2909</v>
      </c>
      <c r="R1544" s="128">
        <v>26.8</v>
      </c>
      <c r="S1544" s="130"/>
      <c r="T1544" s="130" t="s">
        <v>2910</v>
      </c>
      <c r="U1544" s="131"/>
    </row>
    <row r="1545" spans="1:21" ht="15.75" thickBot="1">
      <c r="A1545" s="123">
        <v>1383</v>
      </c>
      <c r="B1545" s="123"/>
      <c r="C1545" s="123"/>
      <c r="D1545" s="123"/>
      <c r="E1545" s="123"/>
      <c r="F1545" s="123"/>
      <c r="G1545" s="127" t="s">
        <v>357</v>
      </c>
      <c r="H1545" s="128">
        <v>2010</v>
      </c>
      <c r="I1545" s="128" t="s">
        <v>38</v>
      </c>
      <c r="J1545" s="128">
        <f t="shared" si="48"/>
        <v>5</v>
      </c>
      <c r="K1545" s="128" t="s">
        <v>2911</v>
      </c>
      <c r="L1545" s="128" t="s">
        <v>30</v>
      </c>
      <c r="M1545" s="129" t="s">
        <v>31</v>
      </c>
      <c r="N1545" s="129" t="s">
        <v>28</v>
      </c>
      <c r="O1545" s="129"/>
      <c r="P1545" s="129" t="str">
        <f t="shared" si="49"/>
        <v/>
      </c>
      <c r="Q1545" s="132" t="s">
        <v>2912</v>
      </c>
      <c r="R1545" s="128">
        <v>9.6999999999999993</v>
      </c>
      <c r="S1545" s="130"/>
      <c r="T1545" s="130" t="s">
        <v>31</v>
      </c>
      <c r="U1545" s="131"/>
    </row>
    <row r="1546" spans="1:21" ht="15.75" thickBot="1">
      <c r="A1546" s="123">
        <v>1383</v>
      </c>
      <c r="B1546" s="123"/>
      <c r="C1546" s="123"/>
      <c r="D1546" s="123"/>
      <c r="E1546" s="123"/>
      <c r="F1546" s="123"/>
      <c r="G1546" s="127" t="s">
        <v>357</v>
      </c>
      <c r="H1546" s="128">
        <v>2010</v>
      </c>
      <c r="I1546" s="128" t="s">
        <v>38</v>
      </c>
      <c r="J1546" s="128">
        <f t="shared" si="48"/>
        <v>5</v>
      </c>
      <c r="K1546" s="128" t="s">
        <v>2899</v>
      </c>
      <c r="L1546" s="128" t="s">
        <v>30</v>
      </c>
      <c r="M1546" s="129" t="s">
        <v>31</v>
      </c>
      <c r="N1546" s="129" t="s">
        <v>28</v>
      </c>
      <c r="O1546" s="129"/>
      <c r="P1546" s="129" t="str">
        <f t="shared" si="49"/>
        <v/>
      </c>
      <c r="Q1546" s="132" t="s">
        <v>2913</v>
      </c>
      <c r="R1546" s="128">
        <v>8.8000000000000007</v>
      </c>
      <c r="S1546" s="130"/>
      <c r="T1546" s="130" t="s">
        <v>31</v>
      </c>
      <c r="U1546" s="131"/>
    </row>
    <row r="1547" spans="1:21" ht="15.75" thickBot="1">
      <c r="A1547" s="123">
        <v>1383</v>
      </c>
      <c r="B1547" s="123"/>
      <c r="C1547" s="123"/>
      <c r="D1547" s="123"/>
      <c r="E1547" s="123"/>
      <c r="F1547" s="123"/>
      <c r="G1547" s="127" t="s">
        <v>357</v>
      </c>
      <c r="H1547" s="128">
        <v>2010</v>
      </c>
      <c r="I1547" s="128" t="s">
        <v>38</v>
      </c>
      <c r="J1547" s="128">
        <f t="shared" si="48"/>
        <v>5</v>
      </c>
      <c r="K1547" s="128" t="s">
        <v>358</v>
      </c>
      <c r="L1547" s="128" t="s">
        <v>30</v>
      </c>
      <c r="M1547" s="129" t="s">
        <v>1065</v>
      </c>
      <c r="N1547" s="129" t="s">
        <v>32</v>
      </c>
      <c r="O1547" s="129"/>
      <c r="P1547" s="129" t="str">
        <f t="shared" si="49"/>
        <v/>
      </c>
      <c r="Q1547" s="130"/>
      <c r="R1547" s="128">
        <v>49.5</v>
      </c>
      <c r="S1547" s="130"/>
      <c r="T1547" s="130"/>
      <c r="U1547" s="131"/>
    </row>
    <row r="1548" spans="1:21" ht="15.75" thickBot="1">
      <c r="A1548" s="123">
        <v>1383</v>
      </c>
      <c r="B1548" s="123"/>
      <c r="C1548" s="123"/>
      <c r="D1548" s="123"/>
      <c r="E1548" s="123"/>
      <c r="F1548" s="123"/>
      <c r="G1548" s="127" t="s">
        <v>357</v>
      </c>
      <c r="H1548" s="128">
        <v>2010</v>
      </c>
      <c r="I1548" s="128" t="s">
        <v>38</v>
      </c>
      <c r="J1548" s="128">
        <f t="shared" si="48"/>
        <v>5</v>
      </c>
      <c r="K1548" s="128" t="s">
        <v>2914</v>
      </c>
      <c r="L1548" s="128" t="s">
        <v>30</v>
      </c>
      <c r="M1548" s="129" t="s">
        <v>1065</v>
      </c>
      <c r="N1548" s="129" t="s">
        <v>28</v>
      </c>
      <c r="O1548" s="129"/>
      <c r="P1548" s="129" t="str">
        <f t="shared" si="49"/>
        <v/>
      </c>
      <c r="Q1548" s="130"/>
      <c r="R1548" s="128">
        <v>5.4</v>
      </c>
      <c r="S1548" s="130"/>
      <c r="T1548" s="130"/>
      <c r="U1548" s="131"/>
    </row>
    <row r="1549" spans="1:21" ht="15.75" thickBot="1">
      <c r="A1549" s="123">
        <v>1384</v>
      </c>
      <c r="B1549" s="123"/>
      <c r="C1549" s="123"/>
      <c r="D1549" s="123"/>
      <c r="E1549" s="123"/>
      <c r="F1549" s="123"/>
      <c r="G1549" s="127" t="s">
        <v>357</v>
      </c>
      <c r="H1549" s="128">
        <v>2010</v>
      </c>
      <c r="I1549" s="128" t="s">
        <v>359</v>
      </c>
      <c r="J1549" s="128">
        <f t="shared" si="48"/>
        <v>1</v>
      </c>
      <c r="K1549" s="128" t="s">
        <v>361</v>
      </c>
      <c r="L1549" s="128" t="s">
        <v>40</v>
      </c>
      <c r="M1549" s="129" t="s">
        <v>1065</v>
      </c>
      <c r="N1549" s="129" t="s">
        <v>32</v>
      </c>
      <c r="O1549" s="129"/>
      <c r="P1549" s="129" t="str">
        <f t="shared" si="49"/>
        <v/>
      </c>
      <c r="Q1549" s="130"/>
      <c r="R1549" s="128">
        <v>100</v>
      </c>
      <c r="S1549" s="130"/>
      <c r="T1549" s="130"/>
      <c r="U1549" s="131"/>
    </row>
    <row r="1550" spans="1:21" ht="15.75" thickBot="1">
      <c r="A1550" s="123">
        <v>1385</v>
      </c>
      <c r="B1550" s="123"/>
      <c r="C1550" s="123"/>
      <c r="D1550" s="123"/>
      <c r="E1550" s="123"/>
      <c r="F1550" s="123"/>
      <c r="G1550" s="127" t="s">
        <v>357</v>
      </c>
      <c r="H1550" s="128">
        <v>2010</v>
      </c>
      <c r="I1550" s="128" t="s">
        <v>362</v>
      </c>
      <c r="J1550" s="128">
        <f t="shared" si="48"/>
        <v>1</v>
      </c>
      <c r="K1550" s="128" t="s">
        <v>364</v>
      </c>
      <c r="L1550" s="128" t="s">
        <v>30</v>
      </c>
      <c r="M1550" s="129" t="s">
        <v>1065</v>
      </c>
      <c r="N1550" s="129" t="s">
        <v>32</v>
      </c>
      <c r="O1550" s="129"/>
      <c r="P1550" s="129" t="str">
        <f t="shared" si="49"/>
        <v/>
      </c>
      <c r="Q1550" s="130"/>
      <c r="R1550" s="128">
        <v>100</v>
      </c>
      <c r="S1550" s="130"/>
      <c r="T1550" s="130"/>
      <c r="U1550" s="131"/>
    </row>
    <row r="1551" spans="1:21" ht="15.75" thickBot="1">
      <c r="A1551" s="123">
        <v>1386</v>
      </c>
      <c r="B1551" s="123"/>
      <c r="C1551" s="123"/>
      <c r="D1551" s="123"/>
      <c r="E1551" s="123"/>
      <c r="F1551" s="123"/>
      <c r="G1551" s="127" t="s">
        <v>357</v>
      </c>
      <c r="H1551" s="128">
        <v>2010</v>
      </c>
      <c r="I1551" s="128" t="s">
        <v>365</v>
      </c>
      <c r="J1551" s="128">
        <f t="shared" si="48"/>
        <v>3</v>
      </c>
      <c r="K1551" s="128" t="s">
        <v>2915</v>
      </c>
      <c r="L1551" s="128" t="s">
        <v>40</v>
      </c>
      <c r="M1551" s="129" t="s">
        <v>1003</v>
      </c>
      <c r="N1551" s="129" t="s">
        <v>28</v>
      </c>
      <c r="O1551" s="129"/>
      <c r="P1551" s="129" t="str">
        <f t="shared" si="49"/>
        <v/>
      </c>
      <c r="Q1551" s="128" t="s">
        <v>2916</v>
      </c>
      <c r="R1551" s="128">
        <v>22.3</v>
      </c>
      <c r="S1551" s="130"/>
      <c r="T1551" s="130"/>
      <c r="U1551" s="131"/>
    </row>
    <row r="1552" spans="1:21" ht="15.75" thickBot="1">
      <c r="A1552" s="123">
        <v>1386</v>
      </c>
      <c r="B1552" s="123"/>
      <c r="C1552" s="123"/>
      <c r="D1552" s="123"/>
      <c r="E1552" s="123"/>
      <c r="F1552" s="123"/>
      <c r="G1552" s="127" t="s">
        <v>357</v>
      </c>
      <c r="H1552" s="128">
        <v>2010</v>
      </c>
      <c r="I1552" s="128" t="s">
        <v>365</v>
      </c>
      <c r="J1552" s="128">
        <f t="shared" si="48"/>
        <v>3</v>
      </c>
      <c r="K1552" s="128" t="s">
        <v>2917</v>
      </c>
      <c r="L1552" s="128" t="s">
        <v>30</v>
      </c>
      <c r="M1552" s="129" t="s">
        <v>34</v>
      </c>
      <c r="N1552" s="129" t="s">
        <v>28</v>
      </c>
      <c r="O1552" s="129"/>
      <c r="P1552" s="129" t="str">
        <f t="shared" si="49"/>
        <v/>
      </c>
      <c r="Q1552" s="128" t="s">
        <v>2918</v>
      </c>
      <c r="R1552" s="128">
        <v>23.8</v>
      </c>
      <c r="S1552" s="130"/>
      <c r="T1552" s="130" t="s">
        <v>1015</v>
      </c>
      <c r="U1552" s="131"/>
    </row>
    <row r="1553" spans="1:21" ht="15.75" thickBot="1">
      <c r="A1553" s="123">
        <v>1386</v>
      </c>
      <c r="B1553" s="123"/>
      <c r="C1553" s="123"/>
      <c r="D1553" s="123"/>
      <c r="E1553" s="123"/>
      <c r="F1553" s="123"/>
      <c r="G1553" s="127" t="s">
        <v>357</v>
      </c>
      <c r="H1553" s="128">
        <v>2010</v>
      </c>
      <c r="I1553" s="128" t="s">
        <v>365</v>
      </c>
      <c r="J1553" s="128">
        <f t="shared" si="48"/>
        <v>3</v>
      </c>
      <c r="K1553" s="128" t="s">
        <v>367</v>
      </c>
      <c r="L1553" s="128" t="s">
        <v>30</v>
      </c>
      <c r="M1553" s="129" t="s">
        <v>1065</v>
      </c>
      <c r="N1553" s="129" t="s">
        <v>32</v>
      </c>
      <c r="O1553" s="129"/>
      <c r="P1553" s="129" t="str">
        <f t="shared" si="49"/>
        <v/>
      </c>
      <c r="Q1553" s="130"/>
      <c r="R1553" s="128">
        <v>53.9</v>
      </c>
      <c r="S1553" s="130"/>
      <c r="T1553" s="130"/>
      <c r="U1553" s="131"/>
    </row>
    <row r="1554" spans="1:21" ht="15.75" thickBot="1">
      <c r="A1554" s="123">
        <v>1379</v>
      </c>
      <c r="B1554" s="123"/>
      <c r="C1554" s="123"/>
      <c r="D1554" s="123"/>
      <c r="E1554" s="123"/>
      <c r="F1554" s="123"/>
      <c r="G1554" s="127" t="s">
        <v>357</v>
      </c>
      <c r="H1554" s="128">
        <v>2012</v>
      </c>
      <c r="I1554" s="128" t="s">
        <v>38</v>
      </c>
      <c r="J1554" s="128">
        <f t="shared" si="48"/>
        <v>6</v>
      </c>
      <c r="K1554" s="128" t="s">
        <v>2899</v>
      </c>
      <c r="L1554" s="128" t="s">
        <v>30</v>
      </c>
      <c r="M1554" s="129" t="s">
        <v>1003</v>
      </c>
      <c r="N1554" s="129" t="s">
        <v>28</v>
      </c>
      <c r="O1554" s="129"/>
      <c r="P1554" s="129" t="str">
        <f t="shared" si="49"/>
        <v/>
      </c>
      <c r="Q1554" s="128" t="s">
        <v>1004</v>
      </c>
      <c r="R1554" s="128">
        <v>11.2</v>
      </c>
      <c r="S1554" s="130"/>
      <c r="T1554" s="130"/>
      <c r="U1554" s="131"/>
    </row>
    <row r="1555" spans="1:21" ht="15.75" thickBot="1">
      <c r="A1555" s="123">
        <v>1379</v>
      </c>
      <c r="B1555" s="123"/>
      <c r="C1555" s="123"/>
      <c r="D1555" s="123"/>
      <c r="E1555" s="123"/>
      <c r="F1555" s="123"/>
      <c r="G1555" s="127" t="s">
        <v>357</v>
      </c>
      <c r="H1555" s="128">
        <v>2012</v>
      </c>
      <c r="I1555" s="128" t="s">
        <v>38</v>
      </c>
      <c r="J1555" s="128">
        <f t="shared" si="48"/>
        <v>6</v>
      </c>
      <c r="K1555" s="128" t="s">
        <v>2919</v>
      </c>
      <c r="L1555" s="128" t="s">
        <v>40</v>
      </c>
      <c r="M1555" s="129" t="s">
        <v>1065</v>
      </c>
      <c r="N1555" s="129" t="s">
        <v>28</v>
      </c>
      <c r="O1555" s="129"/>
      <c r="P1555" s="129" t="str">
        <f t="shared" si="49"/>
        <v/>
      </c>
      <c r="Q1555" s="128" t="s">
        <v>2920</v>
      </c>
      <c r="R1555" s="128">
        <v>5.6</v>
      </c>
      <c r="S1555" s="130"/>
      <c r="T1555" s="130" t="s">
        <v>1069</v>
      </c>
      <c r="U1555" s="131"/>
    </row>
    <row r="1556" spans="1:21" ht="15.75" thickBot="1">
      <c r="A1556" s="123">
        <v>1379</v>
      </c>
      <c r="B1556" s="123"/>
      <c r="C1556" s="123"/>
      <c r="D1556" s="123"/>
      <c r="E1556" s="123"/>
      <c r="F1556" s="123"/>
      <c r="G1556" s="127" t="s">
        <v>357</v>
      </c>
      <c r="H1556" s="128">
        <v>2012</v>
      </c>
      <c r="I1556" s="128" t="s">
        <v>38</v>
      </c>
      <c r="J1556" s="128">
        <f t="shared" si="48"/>
        <v>6</v>
      </c>
      <c r="K1556" s="128" t="s">
        <v>358</v>
      </c>
      <c r="L1556" s="128" t="s">
        <v>30</v>
      </c>
      <c r="M1556" s="129" t="s">
        <v>1065</v>
      </c>
      <c r="N1556" s="129" t="s">
        <v>32</v>
      </c>
      <c r="O1556" s="129"/>
      <c r="P1556" s="129" t="str">
        <f t="shared" si="49"/>
        <v/>
      </c>
      <c r="Q1556" s="130"/>
      <c r="R1556" s="128">
        <v>48.2</v>
      </c>
      <c r="S1556" s="130"/>
      <c r="T1556" s="130"/>
      <c r="U1556" s="131"/>
    </row>
    <row r="1557" spans="1:21" ht="26.25" thickBot="1">
      <c r="A1557" s="123">
        <v>1379</v>
      </c>
      <c r="B1557" s="123"/>
      <c r="C1557" s="123"/>
      <c r="D1557" s="123"/>
      <c r="E1557" s="123"/>
      <c r="F1557" s="123"/>
      <c r="G1557" s="127" t="s">
        <v>357</v>
      </c>
      <c r="H1557" s="128">
        <v>2012</v>
      </c>
      <c r="I1557" s="128" t="s">
        <v>38</v>
      </c>
      <c r="J1557" s="128">
        <f t="shared" si="48"/>
        <v>6</v>
      </c>
      <c r="K1557" s="128" t="s">
        <v>2921</v>
      </c>
      <c r="L1557" s="128" t="s">
        <v>30</v>
      </c>
      <c r="M1557" s="129" t="s">
        <v>1065</v>
      </c>
      <c r="N1557" s="129" t="s">
        <v>28</v>
      </c>
      <c r="O1557" s="129"/>
      <c r="P1557" s="129" t="str">
        <f t="shared" si="49"/>
        <v/>
      </c>
      <c r="Q1557" s="128" t="s">
        <v>2922</v>
      </c>
      <c r="R1557" s="128">
        <v>2.9</v>
      </c>
      <c r="S1557" s="130"/>
      <c r="T1557" s="130" t="s">
        <v>2866</v>
      </c>
      <c r="U1557" s="123"/>
    </row>
    <row r="1558" spans="1:21" ht="26.25" thickBot="1">
      <c r="A1558" s="123">
        <v>1379</v>
      </c>
      <c r="B1558" s="123"/>
      <c r="C1558" s="123"/>
      <c r="D1558" s="123"/>
      <c r="E1558" s="123"/>
      <c r="F1558" s="123"/>
      <c r="G1558" s="127" t="s">
        <v>357</v>
      </c>
      <c r="H1558" s="128">
        <v>2012</v>
      </c>
      <c r="I1558" s="128" t="s">
        <v>38</v>
      </c>
      <c r="J1558" s="128">
        <f t="shared" si="48"/>
        <v>6</v>
      </c>
      <c r="K1558" s="128" t="s">
        <v>2923</v>
      </c>
      <c r="L1558" s="128" t="s">
        <v>30</v>
      </c>
      <c r="M1558" s="129" t="s">
        <v>1065</v>
      </c>
      <c r="N1558" s="129" t="s">
        <v>28</v>
      </c>
      <c r="O1558" s="129"/>
      <c r="P1558" s="129" t="str">
        <f t="shared" si="49"/>
        <v/>
      </c>
      <c r="Q1558" s="132" t="s">
        <v>2924</v>
      </c>
      <c r="R1558" s="128">
        <v>26.7</v>
      </c>
      <c r="S1558" s="130"/>
      <c r="T1558" s="130" t="s">
        <v>1680</v>
      </c>
      <c r="U1558" s="131"/>
    </row>
    <row r="1559" spans="1:21" ht="15.75" thickBot="1">
      <c r="A1559" s="123">
        <v>1379</v>
      </c>
      <c r="B1559" s="123"/>
      <c r="C1559" s="123"/>
      <c r="D1559" s="123"/>
      <c r="E1559" s="123"/>
      <c r="F1559" s="123"/>
      <c r="G1559" s="127" t="s">
        <v>357</v>
      </c>
      <c r="H1559" s="128">
        <v>2012</v>
      </c>
      <c r="I1559" s="128" t="s">
        <v>38</v>
      </c>
      <c r="J1559" s="128">
        <f t="shared" si="48"/>
        <v>6</v>
      </c>
      <c r="K1559" s="128" t="s">
        <v>2914</v>
      </c>
      <c r="L1559" s="128" t="s">
        <v>30</v>
      </c>
      <c r="M1559" s="129" t="s">
        <v>1003</v>
      </c>
      <c r="N1559" s="129" t="s">
        <v>28</v>
      </c>
      <c r="O1559" s="129"/>
      <c r="P1559" s="129" t="str">
        <f t="shared" si="49"/>
        <v/>
      </c>
      <c r="Q1559" s="128" t="s">
        <v>2925</v>
      </c>
      <c r="R1559" s="128">
        <v>5.5</v>
      </c>
      <c r="S1559" s="130"/>
      <c r="T1559" s="130"/>
      <c r="U1559" s="123"/>
    </row>
    <row r="1560" spans="1:21" ht="15.75" thickBot="1">
      <c r="A1560" s="123">
        <v>1380</v>
      </c>
      <c r="B1560" s="123"/>
      <c r="C1560" s="123"/>
      <c r="D1560" s="123"/>
      <c r="E1560" s="123"/>
      <c r="F1560" s="123"/>
      <c r="G1560" s="127" t="s">
        <v>357</v>
      </c>
      <c r="H1560" s="128">
        <v>2012</v>
      </c>
      <c r="I1560" s="128" t="s">
        <v>368</v>
      </c>
      <c r="J1560" s="128">
        <f t="shared" si="48"/>
        <v>2</v>
      </c>
      <c r="K1560" s="128" t="s">
        <v>2926</v>
      </c>
      <c r="L1560" s="128" t="s">
        <v>40</v>
      </c>
      <c r="M1560" s="129" t="s">
        <v>1003</v>
      </c>
      <c r="N1560" s="129" t="s">
        <v>28</v>
      </c>
      <c r="O1560" s="129"/>
      <c r="P1560" s="129" t="str">
        <f t="shared" si="49"/>
        <v/>
      </c>
      <c r="Q1560" s="128" t="s">
        <v>2927</v>
      </c>
      <c r="R1560" s="128">
        <v>48</v>
      </c>
      <c r="S1560" s="130"/>
      <c r="T1560" s="130"/>
      <c r="U1560" s="131"/>
    </row>
    <row r="1561" spans="1:21" ht="15.75" thickBot="1">
      <c r="A1561" s="123">
        <v>1380</v>
      </c>
      <c r="B1561" s="123"/>
      <c r="C1561" s="123"/>
      <c r="D1561" s="123"/>
      <c r="E1561" s="123"/>
      <c r="F1561" s="123"/>
      <c r="G1561" s="127" t="s">
        <v>357</v>
      </c>
      <c r="H1561" s="128">
        <v>2012</v>
      </c>
      <c r="I1561" s="128" t="s">
        <v>368</v>
      </c>
      <c r="J1561" s="128">
        <f t="shared" si="48"/>
        <v>2</v>
      </c>
      <c r="K1561" s="128" t="s">
        <v>370</v>
      </c>
      <c r="L1561" s="128" t="s">
        <v>30</v>
      </c>
      <c r="M1561" s="129" t="s">
        <v>1065</v>
      </c>
      <c r="N1561" s="129" t="s">
        <v>32</v>
      </c>
      <c r="O1561" s="129"/>
      <c r="P1561" s="129" t="str">
        <f t="shared" si="49"/>
        <v/>
      </c>
      <c r="Q1561" s="128" t="s">
        <v>2928</v>
      </c>
      <c r="R1561" s="128">
        <v>52</v>
      </c>
      <c r="S1561" s="130"/>
      <c r="T1561" s="130" t="s">
        <v>1015</v>
      </c>
      <c r="U1561" s="131"/>
    </row>
    <row r="1562" spans="1:21" ht="15.75" thickBot="1">
      <c r="A1562" s="123">
        <v>1381</v>
      </c>
      <c r="B1562" s="123"/>
      <c r="C1562" s="123"/>
      <c r="D1562" s="123"/>
      <c r="E1562" s="123"/>
      <c r="F1562" s="123"/>
      <c r="G1562" s="127" t="s">
        <v>357</v>
      </c>
      <c r="H1562" s="128">
        <v>2012</v>
      </c>
      <c r="I1562" s="128" t="s">
        <v>371</v>
      </c>
      <c r="J1562" s="128">
        <f t="shared" si="48"/>
        <v>6</v>
      </c>
      <c r="K1562" s="128" t="s">
        <v>373</v>
      </c>
      <c r="L1562" s="128" t="s">
        <v>40</v>
      </c>
      <c r="M1562" s="129" t="s">
        <v>1003</v>
      </c>
      <c r="N1562" s="129" t="s">
        <v>32</v>
      </c>
      <c r="O1562" s="129"/>
      <c r="P1562" s="129" t="str">
        <f t="shared" si="49"/>
        <v/>
      </c>
      <c r="Q1562" s="128" t="s">
        <v>2927</v>
      </c>
      <c r="R1562" s="128">
        <v>36.6</v>
      </c>
      <c r="S1562" s="130"/>
      <c r="T1562" s="130"/>
      <c r="U1562" s="131"/>
    </row>
    <row r="1563" spans="1:21" ht="15.75" thickBot="1">
      <c r="A1563" s="123">
        <v>1381</v>
      </c>
      <c r="B1563" s="123"/>
      <c r="C1563" s="123"/>
      <c r="D1563" s="123"/>
      <c r="E1563" s="123"/>
      <c r="F1563" s="123"/>
      <c r="G1563" s="127" t="s">
        <v>357</v>
      </c>
      <c r="H1563" s="128">
        <v>2012</v>
      </c>
      <c r="I1563" s="128" t="s">
        <v>371</v>
      </c>
      <c r="J1563" s="128">
        <f t="shared" si="48"/>
        <v>6</v>
      </c>
      <c r="K1563" s="128" t="s">
        <v>383</v>
      </c>
      <c r="L1563" s="128" t="s">
        <v>30</v>
      </c>
      <c r="M1563" s="129" t="s">
        <v>31</v>
      </c>
      <c r="N1563" s="129" t="s">
        <v>28</v>
      </c>
      <c r="O1563" s="129"/>
      <c r="P1563" s="129" t="str">
        <f t="shared" si="49"/>
        <v/>
      </c>
      <c r="Q1563" s="128" t="s">
        <v>2929</v>
      </c>
      <c r="R1563" s="128">
        <v>15.6</v>
      </c>
      <c r="S1563" s="130"/>
      <c r="T1563" s="130" t="s">
        <v>31</v>
      </c>
      <c r="U1563" s="131"/>
    </row>
    <row r="1564" spans="1:21" ht="15.75" thickBot="1">
      <c r="A1564" s="123">
        <v>1381</v>
      </c>
      <c r="B1564" s="123"/>
      <c r="C1564" s="123"/>
      <c r="D1564" s="123"/>
      <c r="E1564" s="123"/>
      <c r="F1564" s="123"/>
      <c r="G1564" s="127" t="s">
        <v>357</v>
      </c>
      <c r="H1564" s="128">
        <v>2012</v>
      </c>
      <c r="I1564" s="128" t="s">
        <v>371</v>
      </c>
      <c r="J1564" s="128">
        <f t="shared" si="48"/>
        <v>6</v>
      </c>
      <c r="K1564" s="128" t="s">
        <v>2911</v>
      </c>
      <c r="L1564" s="128" t="s">
        <v>30</v>
      </c>
      <c r="M1564" s="129" t="s">
        <v>31</v>
      </c>
      <c r="N1564" s="129" t="s">
        <v>28</v>
      </c>
      <c r="O1564" s="129"/>
      <c r="P1564" s="129" t="str">
        <f t="shared" si="49"/>
        <v/>
      </c>
      <c r="Q1564" s="128" t="s">
        <v>2930</v>
      </c>
      <c r="R1564" s="128">
        <v>11.7</v>
      </c>
      <c r="S1564" s="130"/>
      <c r="T1564" s="130" t="s">
        <v>31</v>
      </c>
      <c r="U1564" s="131"/>
    </row>
    <row r="1565" spans="1:21" ht="15.75" thickBot="1">
      <c r="A1565" s="123">
        <v>1381</v>
      </c>
      <c r="B1565" s="123"/>
      <c r="C1565" s="123"/>
      <c r="D1565" s="123"/>
      <c r="E1565" s="123"/>
      <c r="F1565" s="123"/>
      <c r="G1565" s="127" t="s">
        <v>357</v>
      </c>
      <c r="H1565" s="128">
        <v>2012</v>
      </c>
      <c r="I1565" s="128" t="s">
        <v>371</v>
      </c>
      <c r="J1565" s="128">
        <f t="shared" si="48"/>
        <v>6</v>
      </c>
      <c r="K1565" s="128" t="s">
        <v>2931</v>
      </c>
      <c r="L1565" s="128" t="s">
        <v>30</v>
      </c>
      <c r="M1565" s="129" t="s">
        <v>1065</v>
      </c>
      <c r="N1565" s="129" t="s">
        <v>28</v>
      </c>
      <c r="O1565" s="129"/>
      <c r="P1565" s="129" t="str">
        <f t="shared" si="49"/>
        <v/>
      </c>
      <c r="Q1565" s="128" t="s">
        <v>2932</v>
      </c>
      <c r="R1565" s="128">
        <v>22.2</v>
      </c>
      <c r="S1565" s="130"/>
      <c r="T1565" s="130" t="s">
        <v>1015</v>
      </c>
      <c r="U1565" s="131"/>
    </row>
    <row r="1566" spans="1:21" ht="15.75" thickBot="1">
      <c r="A1566" s="123">
        <v>1381</v>
      </c>
      <c r="B1566" s="123"/>
      <c r="C1566" s="123"/>
      <c r="D1566" s="123"/>
      <c r="E1566" s="123"/>
      <c r="F1566" s="123"/>
      <c r="G1566" s="127" t="s">
        <v>357</v>
      </c>
      <c r="H1566" s="128">
        <v>2012</v>
      </c>
      <c r="I1566" s="128" t="s">
        <v>371</v>
      </c>
      <c r="J1566" s="128">
        <f t="shared" si="48"/>
        <v>6</v>
      </c>
      <c r="K1566" s="128" t="s">
        <v>2933</v>
      </c>
      <c r="L1566" s="128" t="s">
        <v>30</v>
      </c>
      <c r="M1566" s="129" t="s">
        <v>1003</v>
      </c>
      <c r="N1566" s="129" t="s">
        <v>28</v>
      </c>
      <c r="O1566" s="129"/>
      <c r="P1566" s="129" t="str">
        <f t="shared" si="49"/>
        <v/>
      </c>
      <c r="Q1566" s="138" t="s">
        <v>2934</v>
      </c>
      <c r="R1566" s="128">
        <v>8.1</v>
      </c>
      <c r="S1566" s="130"/>
      <c r="T1566" s="130"/>
      <c r="U1566" s="123"/>
    </row>
    <row r="1567" spans="1:21" ht="15.75" thickBot="1">
      <c r="A1567" s="123">
        <v>1381</v>
      </c>
      <c r="B1567" s="123"/>
      <c r="C1567" s="123"/>
      <c r="D1567" s="123"/>
      <c r="E1567" s="123"/>
      <c r="F1567" s="123"/>
      <c r="G1567" s="127" t="s">
        <v>357</v>
      </c>
      <c r="H1567" s="128">
        <v>2012</v>
      </c>
      <c r="I1567" s="128" t="s">
        <v>371</v>
      </c>
      <c r="J1567" s="128">
        <f t="shared" si="48"/>
        <v>6</v>
      </c>
      <c r="K1567" s="128" t="s">
        <v>2935</v>
      </c>
      <c r="L1567" s="128" t="s">
        <v>30</v>
      </c>
      <c r="M1567" s="129" t="s">
        <v>31</v>
      </c>
      <c r="N1567" s="129" t="s">
        <v>28</v>
      </c>
      <c r="O1567" s="129"/>
      <c r="P1567" s="129" t="str">
        <f t="shared" si="49"/>
        <v/>
      </c>
      <c r="Q1567" s="128" t="s">
        <v>2858</v>
      </c>
      <c r="R1567" s="128">
        <v>5.6</v>
      </c>
      <c r="S1567" s="130"/>
      <c r="T1567" s="130" t="s">
        <v>31</v>
      </c>
      <c r="U1567" s="123"/>
    </row>
    <row r="1568" spans="1:21" ht="26.25" thickBot="1">
      <c r="A1568" s="123">
        <v>1382</v>
      </c>
      <c r="B1568" s="123"/>
      <c r="C1568" s="123"/>
      <c r="D1568" s="123"/>
      <c r="E1568" s="123"/>
      <c r="F1568" s="123"/>
      <c r="G1568" s="127" t="s">
        <v>357</v>
      </c>
      <c r="H1568" s="128">
        <v>2012</v>
      </c>
      <c r="I1568" s="128" t="s">
        <v>374</v>
      </c>
      <c r="J1568" s="128">
        <f t="shared" si="48"/>
        <v>2</v>
      </c>
      <c r="K1568" s="128" t="s">
        <v>2936</v>
      </c>
      <c r="L1568" s="128" t="s">
        <v>40</v>
      </c>
      <c r="M1568" s="129" t="s">
        <v>1065</v>
      </c>
      <c r="N1568" s="129" t="s">
        <v>28</v>
      </c>
      <c r="O1568" s="129"/>
      <c r="P1568" s="129" t="str">
        <f t="shared" si="49"/>
        <v/>
      </c>
      <c r="Q1568" s="128" t="s">
        <v>2937</v>
      </c>
      <c r="R1568" s="128">
        <v>38.200000000000003</v>
      </c>
      <c r="S1568" s="130"/>
      <c r="T1568" s="130" t="s">
        <v>2866</v>
      </c>
      <c r="U1568" s="131"/>
    </row>
    <row r="1569" spans="1:21" ht="15.75" thickBot="1">
      <c r="A1569" s="123">
        <v>1382</v>
      </c>
      <c r="B1569" s="123"/>
      <c r="C1569" s="123"/>
      <c r="D1569" s="123"/>
      <c r="E1569" s="123"/>
      <c r="F1569" s="123"/>
      <c r="G1569" s="127" t="s">
        <v>357</v>
      </c>
      <c r="H1569" s="128">
        <v>2012</v>
      </c>
      <c r="I1569" s="128" t="s">
        <v>374</v>
      </c>
      <c r="J1569" s="128">
        <f t="shared" si="48"/>
        <v>2</v>
      </c>
      <c r="K1569" s="128" t="s">
        <v>376</v>
      </c>
      <c r="L1569" s="128" t="s">
        <v>30</v>
      </c>
      <c r="M1569" s="129" t="s">
        <v>1065</v>
      </c>
      <c r="N1569" s="129" t="s">
        <v>32</v>
      </c>
      <c r="O1569" s="129"/>
      <c r="P1569" s="129" t="str">
        <f t="shared" si="49"/>
        <v/>
      </c>
      <c r="Q1569" s="130"/>
      <c r="R1569" s="128">
        <v>61.8</v>
      </c>
      <c r="S1569" s="130"/>
      <c r="T1569" s="130"/>
      <c r="U1569" s="131"/>
    </row>
    <row r="1570" spans="1:21" ht="15.75" thickBot="1">
      <c r="A1570" s="123">
        <v>1375</v>
      </c>
      <c r="B1570" s="123"/>
      <c r="C1570" s="123"/>
      <c r="D1570" s="123"/>
      <c r="E1570" s="123"/>
      <c r="F1570" s="123"/>
      <c r="G1570" s="127" t="s">
        <v>357</v>
      </c>
      <c r="H1570" s="128">
        <v>2014</v>
      </c>
      <c r="I1570" s="128" t="s">
        <v>38</v>
      </c>
      <c r="J1570" s="128">
        <f t="shared" si="48"/>
        <v>4</v>
      </c>
      <c r="K1570" s="128" t="s">
        <v>2938</v>
      </c>
      <c r="L1570" s="128" t="s">
        <v>40</v>
      </c>
      <c r="M1570" s="129" t="s">
        <v>1065</v>
      </c>
      <c r="N1570" s="129" t="s">
        <v>28</v>
      </c>
      <c r="O1570" s="129"/>
      <c r="P1570" s="129" t="str">
        <f t="shared" si="49"/>
        <v/>
      </c>
      <c r="Q1570" s="128" t="s">
        <v>2939</v>
      </c>
      <c r="R1570" s="128">
        <v>0.3</v>
      </c>
      <c r="S1570" s="130"/>
      <c r="T1570" s="130" t="s">
        <v>2940</v>
      </c>
      <c r="U1570" s="123"/>
    </row>
    <row r="1571" spans="1:21" ht="15.75" thickBot="1">
      <c r="A1571" s="123">
        <v>1375</v>
      </c>
      <c r="B1571" s="123"/>
      <c r="C1571" s="123"/>
      <c r="D1571" s="123"/>
      <c r="E1571" s="123"/>
      <c r="F1571" s="123"/>
      <c r="G1571" s="127" t="s">
        <v>357</v>
      </c>
      <c r="H1571" s="128">
        <v>2014</v>
      </c>
      <c r="I1571" s="128" t="s">
        <v>38</v>
      </c>
      <c r="J1571" s="128">
        <f t="shared" si="48"/>
        <v>4</v>
      </c>
      <c r="K1571" s="128" t="s">
        <v>2941</v>
      </c>
      <c r="L1571" s="128" t="s">
        <v>30</v>
      </c>
      <c r="M1571" s="129" t="s">
        <v>1003</v>
      </c>
      <c r="N1571" s="129" t="s">
        <v>28</v>
      </c>
      <c r="O1571" s="129"/>
      <c r="P1571" s="129" t="str">
        <f t="shared" si="49"/>
        <v/>
      </c>
      <c r="Q1571" s="128" t="s">
        <v>2942</v>
      </c>
      <c r="R1571" s="128">
        <v>15.1</v>
      </c>
      <c r="S1571" s="130"/>
      <c r="T1571" s="130"/>
      <c r="U1571" s="131"/>
    </row>
    <row r="1572" spans="1:21" ht="15.75" thickBot="1">
      <c r="A1572" s="123">
        <v>1375</v>
      </c>
      <c r="B1572" s="123"/>
      <c r="C1572" s="123"/>
      <c r="D1572" s="123"/>
      <c r="E1572" s="123"/>
      <c r="F1572" s="123"/>
      <c r="G1572" s="127" t="s">
        <v>357</v>
      </c>
      <c r="H1572" s="128">
        <v>2014</v>
      </c>
      <c r="I1572" s="128" t="s">
        <v>38</v>
      </c>
      <c r="J1572" s="128">
        <f t="shared" si="48"/>
        <v>4</v>
      </c>
      <c r="K1572" s="128" t="s">
        <v>358</v>
      </c>
      <c r="L1572" s="128" t="s">
        <v>30</v>
      </c>
      <c r="M1572" s="129" t="s">
        <v>1065</v>
      </c>
      <c r="N1572" s="129" t="s">
        <v>32</v>
      </c>
      <c r="O1572" s="129"/>
      <c r="P1572" s="129" t="str">
        <f t="shared" si="49"/>
        <v/>
      </c>
      <c r="Q1572" s="128" t="s">
        <v>2943</v>
      </c>
      <c r="R1572" s="128">
        <v>50.1</v>
      </c>
      <c r="S1572" s="130"/>
      <c r="T1572" s="130" t="s">
        <v>1069</v>
      </c>
      <c r="U1572" s="131"/>
    </row>
    <row r="1573" spans="1:21" ht="26.25" thickBot="1">
      <c r="A1573" s="123">
        <v>1375</v>
      </c>
      <c r="B1573" s="123"/>
      <c r="C1573" s="123"/>
      <c r="D1573" s="123"/>
      <c r="E1573" s="123"/>
      <c r="F1573" s="123"/>
      <c r="G1573" s="127" t="s">
        <v>357</v>
      </c>
      <c r="H1573" s="128">
        <v>2014</v>
      </c>
      <c r="I1573" s="128" t="s">
        <v>38</v>
      </c>
      <c r="J1573" s="128">
        <f t="shared" si="48"/>
        <v>4</v>
      </c>
      <c r="K1573" s="128" t="s">
        <v>376</v>
      </c>
      <c r="L1573" s="128" t="s">
        <v>30</v>
      </c>
      <c r="M1573" s="129" t="s">
        <v>1065</v>
      </c>
      <c r="N1573" s="129" t="s">
        <v>28</v>
      </c>
      <c r="O1573" s="129"/>
      <c r="P1573" s="129" t="str">
        <f t="shared" si="49"/>
        <v/>
      </c>
      <c r="Q1573" s="128" t="s">
        <v>2944</v>
      </c>
      <c r="R1573" s="128">
        <v>34.6</v>
      </c>
      <c r="S1573" s="130"/>
      <c r="T1573" s="130" t="s">
        <v>2633</v>
      </c>
      <c r="U1573" s="131"/>
    </row>
    <row r="1574" spans="1:21" ht="15.75" thickBot="1">
      <c r="A1574" s="123">
        <v>1376</v>
      </c>
      <c r="B1574" s="123"/>
      <c r="C1574" s="123"/>
      <c r="D1574" s="123"/>
      <c r="E1574" s="123"/>
      <c r="F1574" s="123"/>
      <c r="G1574" s="127" t="s">
        <v>357</v>
      </c>
      <c r="H1574" s="128">
        <v>2014</v>
      </c>
      <c r="I1574" s="128" t="s">
        <v>359</v>
      </c>
      <c r="J1574" s="128">
        <f t="shared" si="48"/>
        <v>4</v>
      </c>
      <c r="K1574" s="128" t="s">
        <v>2945</v>
      </c>
      <c r="L1574" s="128" t="s">
        <v>30</v>
      </c>
      <c r="M1574" s="129" t="s">
        <v>31</v>
      </c>
      <c r="N1574" s="129" t="s">
        <v>28</v>
      </c>
      <c r="O1574" s="129"/>
      <c r="P1574" s="129" t="str">
        <f t="shared" si="49"/>
        <v/>
      </c>
      <c r="Q1574" s="128" t="s">
        <v>2946</v>
      </c>
      <c r="R1574" s="128">
        <v>18.399999999999999</v>
      </c>
      <c r="S1574" s="130"/>
      <c r="T1574" s="130" t="s">
        <v>31</v>
      </c>
      <c r="U1574" s="131"/>
    </row>
    <row r="1575" spans="1:21" ht="15.75" thickBot="1">
      <c r="A1575" s="123">
        <v>1376</v>
      </c>
      <c r="B1575" s="123"/>
      <c r="C1575" s="123"/>
      <c r="D1575" s="123"/>
      <c r="E1575" s="123"/>
      <c r="F1575" s="123"/>
      <c r="G1575" s="127" t="s">
        <v>357</v>
      </c>
      <c r="H1575" s="128">
        <v>2014</v>
      </c>
      <c r="I1575" s="128" t="s">
        <v>359</v>
      </c>
      <c r="J1575" s="128">
        <f t="shared" si="48"/>
        <v>4</v>
      </c>
      <c r="K1575" s="128" t="s">
        <v>361</v>
      </c>
      <c r="L1575" s="128" t="s">
        <v>40</v>
      </c>
      <c r="M1575" s="129" t="s">
        <v>1065</v>
      </c>
      <c r="N1575" s="129" t="s">
        <v>32</v>
      </c>
      <c r="O1575" s="129"/>
      <c r="P1575" s="129" t="str">
        <f t="shared" si="49"/>
        <v/>
      </c>
      <c r="Q1575" s="128" t="s">
        <v>2928</v>
      </c>
      <c r="R1575" s="128">
        <v>52</v>
      </c>
      <c r="S1575" s="130"/>
      <c r="T1575" s="130" t="s">
        <v>1015</v>
      </c>
      <c r="U1575" s="131"/>
    </row>
    <row r="1576" spans="1:21" ht="15.75" thickBot="1">
      <c r="A1576" s="123">
        <v>1376</v>
      </c>
      <c r="B1576" s="123"/>
      <c r="C1576" s="123"/>
      <c r="D1576" s="123"/>
      <c r="E1576" s="123"/>
      <c r="F1576" s="123"/>
      <c r="G1576" s="127" t="s">
        <v>357</v>
      </c>
      <c r="H1576" s="128">
        <v>2014</v>
      </c>
      <c r="I1576" s="128" t="s">
        <v>359</v>
      </c>
      <c r="J1576" s="128">
        <f t="shared" si="48"/>
        <v>4</v>
      </c>
      <c r="K1576" s="128" t="s">
        <v>2947</v>
      </c>
      <c r="L1576" s="128" t="s">
        <v>40</v>
      </c>
      <c r="M1576" s="129" t="s">
        <v>1065</v>
      </c>
      <c r="N1576" s="129" t="s">
        <v>28</v>
      </c>
      <c r="O1576" s="129"/>
      <c r="P1576" s="129" t="str">
        <f t="shared" si="49"/>
        <v/>
      </c>
      <c r="Q1576" s="128" t="s">
        <v>2946</v>
      </c>
      <c r="R1576" s="128">
        <v>18.3</v>
      </c>
      <c r="S1576" s="130"/>
      <c r="T1576" s="130"/>
      <c r="U1576" s="131"/>
    </row>
    <row r="1577" spans="1:21" ht="15.75" thickBot="1">
      <c r="A1577" s="123">
        <v>1376</v>
      </c>
      <c r="B1577" s="123"/>
      <c r="C1577" s="123"/>
      <c r="D1577" s="123"/>
      <c r="E1577" s="123"/>
      <c r="F1577" s="123"/>
      <c r="G1577" s="127" t="s">
        <v>357</v>
      </c>
      <c r="H1577" s="128">
        <v>2014</v>
      </c>
      <c r="I1577" s="128" t="s">
        <v>359</v>
      </c>
      <c r="J1577" s="128">
        <f t="shared" si="48"/>
        <v>4</v>
      </c>
      <c r="K1577" s="128" t="s">
        <v>2948</v>
      </c>
      <c r="L1577" s="128" t="s">
        <v>30</v>
      </c>
      <c r="M1577" s="129" t="s">
        <v>1065</v>
      </c>
      <c r="N1577" s="129" t="s">
        <v>28</v>
      </c>
      <c r="O1577" s="129"/>
      <c r="P1577" s="129" t="str">
        <f t="shared" si="49"/>
        <v/>
      </c>
      <c r="Q1577" s="128" t="s">
        <v>2949</v>
      </c>
      <c r="R1577" s="128">
        <v>11.3</v>
      </c>
      <c r="S1577" s="130"/>
      <c r="T1577" s="130" t="s">
        <v>998</v>
      </c>
      <c r="U1577" s="131"/>
    </row>
    <row r="1578" spans="1:21" ht="15.75" thickBot="1">
      <c r="A1578" s="123">
        <v>1377</v>
      </c>
      <c r="B1578" s="123"/>
      <c r="C1578" s="123"/>
      <c r="D1578" s="123"/>
      <c r="E1578" s="123"/>
      <c r="F1578" s="123"/>
      <c r="G1578" s="127" t="s">
        <v>357</v>
      </c>
      <c r="H1578" s="128">
        <v>2014</v>
      </c>
      <c r="I1578" s="128" t="s">
        <v>362</v>
      </c>
      <c r="J1578" s="128">
        <f t="shared" si="48"/>
        <v>2</v>
      </c>
      <c r="K1578" s="128" t="s">
        <v>2950</v>
      </c>
      <c r="L1578" s="128" t="s">
        <v>30</v>
      </c>
      <c r="M1578" s="129" t="s">
        <v>1065</v>
      </c>
      <c r="N1578" s="129" t="s">
        <v>28</v>
      </c>
      <c r="O1578" s="129"/>
      <c r="P1578" s="129" t="str">
        <f t="shared" si="49"/>
        <v/>
      </c>
      <c r="Q1578" s="138" t="s">
        <v>2951</v>
      </c>
      <c r="R1578" s="128">
        <v>46.2</v>
      </c>
      <c r="S1578" s="130"/>
      <c r="T1578" s="130" t="s">
        <v>998</v>
      </c>
      <c r="U1578" s="131"/>
    </row>
    <row r="1579" spans="1:21" ht="15.75" thickBot="1">
      <c r="A1579" s="123">
        <v>1377</v>
      </c>
      <c r="B1579" s="123"/>
      <c r="C1579" s="123"/>
      <c r="D1579" s="123"/>
      <c r="E1579" s="123"/>
      <c r="F1579" s="123"/>
      <c r="G1579" s="127" t="s">
        <v>357</v>
      </c>
      <c r="H1579" s="128">
        <v>2014</v>
      </c>
      <c r="I1579" s="128" t="s">
        <v>362</v>
      </c>
      <c r="J1579" s="128">
        <f t="shared" si="48"/>
        <v>2</v>
      </c>
      <c r="K1579" s="128" t="s">
        <v>364</v>
      </c>
      <c r="L1579" s="128" t="s">
        <v>30</v>
      </c>
      <c r="M1579" s="129" t="s">
        <v>1065</v>
      </c>
      <c r="N1579" s="129" t="s">
        <v>32</v>
      </c>
      <c r="O1579" s="129"/>
      <c r="P1579" s="129" t="str">
        <f t="shared" si="49"/>
        <v/>
      </c>
      <c r="Q1579" s="128" t="s">
        <v>2952</v>
      </c>
      <c r="R1579" s="128">
        <v>53.8</v>
      </c>
      <c r="S1579" s="130"/>
      <c r="T1579" s="130" t="s">
        <v>1015</v>
      </c>
      <c r="U1579" s="131"/>
    </row>
    <row r="1580" spans="1:21" ht="15.75" thickBot="1">
      <c r="A1580" s="123">
        <v>1378</v>
      </c>
      <c r="B1580" s="123"/>
      <c r="C1580" s="123"/>
      <c r="D1580" s="123"/>
      <c r="E1580" s="123"/>
      <c r="F1580" s="123"/>
      <c r="G1580" s="127" t="s">
        <v>357</v>
      </c>
      <c r="H1580" s="128">
        <v>2014</v>
      </c>
      <c r="I1580" s="128" t="s">
        <v>365</v>
      </c>
      <c r="J1580" s="128">
        <f t="shared" si="48"/>
        <v>2</v>
      </c>
      <c r="K1580" s="128" t="s">
        <v>2953</v>
      </c>
      <c r="L1580" s="128" t="s">
        <v>30</v>
      </c>
      <c r="M1580" s="129" t="s">
        <v>1065</v>
      </c>
      <c r="N1580" s="129" t="s">
        <v>28</v>
      </c>
      <c r="O1580" s="129"/>
      <c r="P1580" s="129" t="str">
        <f t="shared" si="49"/>
        <v/>
      </c>
      <c r="Q1580" s="138" t="s">
        <v>2954</v>
      </c>
      <c r="R1580" s="128">
        <v>37</v>
      </c>
      <c r="S1580" s="130"/>
      <c r="T1580" s="130" t="s">
        <v>998</v>
      </c>
      <c r="U1580" s="131"/>
    </row>
    <row r="1581" spans="1:21" ht="26.25" thickBot="1">
      <c r="A1581" s="123">
        <v>1378</v>
      </c>
      <c r="B1581" s="123"/>
      <c r="C1581" s="123"/>
      <c r="D1581" s="123"/>
      <c r="E1581" s="123"/>
      <c r="F1581" s="123"/>
      <c r="G1581" s="127" t="s">
        <v>357</v>
      </c>
      <c r="H1581" s="128">
        <v>2014</v>
      </c>
      <c r="I1581" s="128" t="s">
        <v>365</v>
      </c>
      <c r="J1581" s="128">
        <f t="shared" si="48"/>
        <v>2</v>
      </c>
      <c r="K1581" s="128" t="s">
        <v>367</v>
      </c>
      <c r="L1581" s="128" t="s">
        <v>30</v>
      </c>
      <c r="M1581" s="129" t="s">
        <v>1065</v>
      </c>
      <c r="N1581" s="129" t="s">
        <v>32</v>
      </c>
      <c r="O1581" s="129"/>
      <c r="P1581" s="129" t="str">
        <f t="shared" si="49"/>
        <v/>
      </c>
      <c r="Q1581" s="128" t="s">
        <v>2955</v>
      </c>
      <c r="R1581" s="128">
        <v>63</v>
      </c>
      <c r="S1581" s="130"/>
      <c r="T1581" s="130" t="s">
        <v>2866</v>
      </c>
      <c r="U1581" s="131"/>
    </row>
    <row r="1582" spans="1:21" ht="15.75" thickBot="1">
      <c r="A1582" s="123">
        <v>1431</v>
      </c>
      <c r="B1582" s="123"/>
      <c r="C1582" s="123"/>
      <c r="D1582" s="123"/>
      <c r="E1582" s="123"/>
      <c r="F1582" s="123"/>
      <c r="G1582" s="127" t="s">
        <v>384</v>
      </c>
      <c r="H1582" s="128">
        <v>2000</v>
      </c>
      <c r="I1582" s="128" t="s">
        <v>394</v>
      </c>
      <c r="J1582" s="128">
        <f t="shared" si="48"/>
        <v>4</v>
      </c>
      <c r="K1582" s="128" t="s">
        <v>2956</v>
      </c>
      <c r="L1582" s="128" t="s">
        <v>30</v>
      </c>
      <c r="M1582" s="129" t="s">
        <v>31</v>
      </c>
      <c r="N1582" s="129" t="s">
        <v>28</v>
      </c>
      <c r="O1582" s="129"/>
      <c r="P1582" s="129" t="str">
        <f t="shared" si="49"/>
        <v/>
      </c>
      <c r="Q1582" s="130"/>
      <c r="R1582" s="128">
        <v>18.8</v>
      </c>
      <c r="S1582" s="130"/>
      <c r="T1582" s="130"/>
      <c r="U1582" s="131"/>
    </row>
    <row r="1583" spans="1:21" ht="15.75" thickBot="1">
      <c r="A1583" s="123">
        <v>1431</v>
      </c>
      <c r="B1583" s="123"/>
      <c r="C1583" s="123"/>
      <c r="D1583" s="123"/>
      <c r="E1583" s="123"/>
      <c r="F1583" s="123"/>
      <c r="G1583" s="127" t="s">
        <v>384</v>
      </c>
      <c r="H1583" s="128">
        <v>2000</v>
      </c>
      <c r="I1583" s="128" t="s">
        <v>394</v>
      </c>
      <c r="J1583" s="128">
        <f t="shared" si="48"/>
        <v>4</v>
      </c>
      <c r="K1583" s="128" t="s">
        <v>388</v>
      </c>
      <c r="L1583" s="128" t="s">
        <v>30</v>
      </c>
      <c r="M1583" s="129" t="s">
        <v>31</v>
      </c>
      <c r="N1583" s="129" t="s">
        <v>28</v>
      </c>
      <c r="O1583" s="129"/>
      <c r="P1583" s="129" t="str">
        <f t="shared" si="49"/>
        <v/>
      </c>
      <c r="Q1583" s="130"/>
      <c r="R1583" s="128">
        <v>30.1</v>
      </c>
      <c r="S1583" s="130"/>
      <c r="T1583" s="130"/>
      <c r="U1583" s="131"/>
    </row>
    <row r="1584" spans="1:21" ht="15.75" thickBot="1">
      <c r="A1584" s="123">
        <v>1431</v>
      </c>
      <c r="B1584" s="123"/>
      <c r="C1584" s="123"/>
      <c r="D1584" s="123"/>
      <c r="E1584" s="123"/>
      <c r="F1584" s="123"/>
      <c r="G1584" s="127" t="s">
        <v>384</v>
      </c>
      <c r="H1584" s="128">
        <v>2000</v>
      </c>
      <c r="I1584" s="128" t="s">
        <v>394</v>
      </c>
      <c r="J1584" s="128">
        <f t="shared" si="48"/>
        <v>4</v>
      </c>
      <c r="K1584" s="128" t="s">
        <v>2957</v>
      </c>
      <c r="L1584" s="128" t="s">
        <v>30</v>
      </c>
      <c r="M1584" s="129" t="s">
        <v>31</v>
      </c>
      <c r="N1584" s="129" t="s">
        <v>28</v>
      </c>
      <c r="O1584" s="129"/>
      <c r="P1584" s="129" t="str">
        <f t="shared" si="49"/>
        <v/>
      </c>
      <c r="Q1584" s="128" t="s">
        <v>2958</v>
      </c>
      <c r="R1584" s="128">
        <v>13.4</v>
      </c>
      <c r="S1584" s="130"/>
      <c r="T1584" s="130" t="s">
        <v>31</v>
      </c>
      <c r="U1584" s="131"/>
    </row>
    <row r="1585" spans="1:21" ht="15.75" thickBot="1">
      <c r="A1585" s="123">
        <v>1431</v>
      </c>
      <c r="B1585" s="123"/>
      <c r="C1585" s="123"/>
      <c r="D1585" s="123"/>
      <c r="E1585" s="123"/>
      <c r="F1585" s="123"/>
      <c r="G1585" s="127" t="s">
        <v>384</v>
      </c>
      <c r="H1585" s="128">
        <v>2000</v>
      </c>
      <c r="I1585" s="128" t="s">
        <v>394</v>
      </c>
      <c r="J1585" s="128">
        <f t="shared" si="48"/>
        <v>4</v>
      </c>
      <c r="K1585" s="128" t="s">
        <v>386</v>
      </c>
      <c r="L1585" s="128" t="s">
        <v>30</v>
      </c>
      <c r="M1585" s="129" t="s">
        <v>31</v>
      </c>
      <c r="N1585" s="129" t="s">
        <v>32</v>
      </c>
      <c r="O1585" s="129"/>
      <c r="P1585" s="129" t="str">
        <f t="shared" si="49"/>
        <v/>
      </c>
      <c r="Q1585" s="130"/>
      <c r="R1585" s="128">
        <v>37.799999999999997</v>
      </c>
      <c r="S1585" s="130"/>
      <c r="T1585" s="130"/>
      <c r="U1585" s="131"/>
    </row>
    <row r="1586" spans="1:21" ht="15.75" thickBot="1">
      <c r="A1586" s="123">
        <v>1432</v>
      </c>
      <c r="B1586" s="123"/>
      <c r="C1586" s="123"/>
      <c r="D1586" s="123"/>
      <c r="E1586" s="123"/>
      <c r="F1586" s="123"/>
      <c r="G1586" s="127" t="s">
        <v>384</v>
      </c>
      <c r="H1586" s="128">
        <v>2000</v>
      </c>
      <c r="I1586" s="128" t="s">
        <v>390</v>
      </c>
      <c r="J1586" s="128">
        <f t="shared" si="48"/>
        <v>1</v>
      </c>
      <c r="K1586" s="128" t="s">
        <v>403</v>
      </c>
      <c r="L1586" s="128" t="s">
        <v>40</v>
      </c>
      <c r="M1586" s="129" t="s">
        <v>31</v>
      </c>
      <c r="N1586" s="129" t="s">
        <v>32</v>
      </c>
      <c r="O1586" s="129"/>
      <c r="P1586" s="129" t="str">
        <f t="shared" si="49"/>
        <v/>
      </c>
      <c r="Q1586" s="128" t="s">
        <v>2959</v>
      </c>
      <c r="R1586" s="128">
        <v>100</v>
      </c>
      <c r="S1586" s="130"/>
      <c r="T1586" s="130" t="s">
        <v>31</v>
      </c>
      <c r="U1586" s="131"/>
    </row>
    <row r="1587" spans="1:21" ht="15.75" thickBot="1">
      <c r="A1587" s="123">
        <v>1433</v>
      </c>
      <c r="B1587" s="123"/>
      <c r="C1587" s="123"/>
      <c r="D1587" s="123"/>
      <c r="E1587" s="123"/>
      <c r="F1587" s="123"/>
      <c r="G1587" s="127" t="s">
        <v>384</v>
      </c>
      <c r="H1587" s="128">
        <v>2000</v>
      </c>
      <c r="I1587" s="128" t="s">
        <v>392</v>
      </c>
      <c r="J1587" s="128">
        <f t="shared" si="48"/>
        <v>1</v>
      </c>
      <c r="K1587" s="128" t="s">
        <v>404</v>
      </c>
      <c r="L1587" s="128" t="s">
        <v>30</v>
      </c>
      <c r="M1587" s="129" t="s">
        <v>31</v>
      </c>
      <c r="N1587" s="129" t="s">
        <v>32</v>
      </c>
      <c r="O1587" s="129"/>
      <c r="P1587" s="129" t="str">
        <f t="shared" si="49"/>
        <v/>
      </c>
      <c r="Q1587" s="128" t="s">
        <v>2960</v>
      </c>
      <c r="R1587" s="128">
        <v>100</v>
      </c>
      <c r="S1587" s="130"/>
      <c r="T1587" s="130" t="s">
        <v>31</v>
      </c>
      <c r="U1587" s="131"/>
    </row>
    <row r="1588" spans="1:21" ht="15.75" thickBot="1">
      <c r="A1588" s="123">
        <v>1434</v>
      </c>
      <c r="B1588" s="123"/>
      <c r="C1588" s="123"/>
      <c r="D1588" s="123"/>
      <c r="E1588" s="123"/>
      <c r="F1588" s="123"/>
      <c r="G1588" s="127" t="s">
        <v>384</v>
      </c>
      <c r="H1588" s="128">
        <v>2000</v>
      </c>
      <c r="I1588" s="128" t="s">
        <v>396</v>
      </c>
      <c r="J1588" s="128">
        <f t="shared" si="48"/>
        <v>1</v>
      </c>
      <c r="K1588" s="128" t="s">
        <v>405</v>
      </c>
      <c r="L1588" s="128" t="s">
        <v>30</v>
      </c>
      <c r="M1588" s="129" t="s">
        <v>31</v>
      </c>
      <c r="N1588" s="129" t="s">
        <v>32</v>
      </c>
      <c r="O1588" s="129"/>
      <c r="P1588" s="129" t="str">
        <f t="shared" si="49"/>
        <v/>
      </c>
      <c r="Q1588" s="130"/>
      <c r="R1588" s="128">
        <v>100</v>
      </c>
      <c r="S1588" s="130"/>
      <c r="T1588" s="130"/>
      <c r="U1588" s="131"/>
    </row>
    <row r="1589" spans="1:21" ht="15.75" hidden="1" thickBot="1">
      <c r="A1589" s="123">
        <v>1428</v>
      </c>
      <c r="B1589" s="123"/>
      <c r="C1589" s="123"/>
      <c r="D1589" s="123"/>
      <c r="E1589" s="123"/>
      <c r="F1589" s="123"/>
      <c r="G1589" s="127" t="s">
        <v>384</v>
      </c>
      <c r="H1589" s="128">
        <v>2002</v>
      </c>
      <c r="I1589" s="128" t="s">
        <v>385</v>
      </c>
      <c r="J1589" s="128">
        <f t="shared" si="48"/>
        <v>4</v>
      </c>
      <c r="K1589" s="128" t="s">
        <v>388</v>
      </c>
      <c r="L1589" s="128" t="s">
        <v>30</v>
      </c>
      <c r="M1589" s="129" t="s">
        <v>31</v>
      </c>
      <c r="N1589" s="129" t="s">
        <v>32</v>
      </c>
      <c r="O1589" s="129" t="s">
        <v>28</v>
      </c>
      <c r="P1589" s="129" t="str">
        <f t="shared" si="49"/>
        <v>N/A</v>
      </c>
      <c r="Q1589" s="130"/>
      <c r="R1589" s="128">
        <v>49.8</v>
      </c>
      <c r="S1589" s="130"/>
      <c r="T1589" s="130"/>
      <c r="U1589" s="131"/>
    </row>
    <row r="1590" spans="1:21" ht="15.75" thickBot="1">
      <c r="A1590" s="123">
        <v>1428</v>
      </c>
      <c r="B1590" s="123"/>
      <c r="C1590" s="123"/>
      <c r="D1590" s="123"/>
      <c r="E1590" s="123"/>
      <c r="F1590" s="123"/>
      <c r="G1590" s="127" t="s">
        <v>384</v>
      </c>
      <c r="H1590" s="128">
        <v>2002</v>
      </c>
      <c r="I1590" s="128" t="s">
        <v>385</v>
      </c>
      <c r="J1590" s="128">
        <f t="shared" si="48"/>
        <v>4</v>
      </c>
      <c r="K1590" s="128" t="s">
        <v>2961</v>
      </c>
      <c r="L1590" s="128" t="s">
        <v>30</v>
      </c>
      <c r="M1590" s="129" t="s">
        <v>31</v>
      </c>
      <c r="N1590" s="129" t="s">
        <v>28</v>
      </c>
      <c r="O1590" s="129"/>
      <c r="P1590" s="129" t="str">
        <f t="shared" si="49"/>
        <v/>
      </c>
      <c r="Q1590" s="130"/>
      <c r="R1590" s="128">
        <v>14.1</v>
      </c>
      <c r="S1590" s="130"/>
      <c r="T1590" s="130"/>
      <c r="U1590" s="131"/>
    </row>
    <row r="1591" spans="1:21" ht="15.75" thickBot="1">
      <c r="A1591" s="123">
        <v>1428</v>
      </c>
      <c r="B1591" s="123"/>
      <c r="C1591" s="123"/>
      <c r="D1591" s="123"/>
      <c r="E1591" s="123"/>
      <c r="F1591" s="123"/>
      <c r="G1591" s="127" t="s">
        <v>384</v>
      </c>
      <c r="H1591" s="128">
        <v>2002</v>
      </c>
      <c r="I1591" s="128" t="s">
        <v>385</v>
      </c>
      <c r="J1591" s="128">
        <f t="shared" si="48"/>
        <v>4</v>
      </c>
      <c r="K1591" s="128" t="s">
        <v>2962</v>
      </c>
      <c r="L1591" s="128" t="s">
        <v>30</v>
      </c>
      <c r="M1591" s="129" t="s">
        <v>1065</v>
      </c>
      <c r="N1591" s="129" t="s">
        <v>28</v>
      </c>
      <c r="O1591" s="129"/>
      <c r="P1591" s="129" t="str">
        <f t="shared" si="49"/>
        <v/>
      </c>
      <c r="Q1591" s="128" t="s">
        <v>2963</v>
      </c>
      <c r="R1591" s="128">
        <v>24.6</v>
      </c>
      <c r="S1591" s="130"/>
      <c r="T1591" s="130" t="s">
        <v>1015</v>
      </c>
      <c r="U1591" s="131"/>
    </row>
    <row r="1592" spans="1:21" ht="15.75" thickBot="1">
      <c r="A1592" s="123">
        <v>1428</v>
      </c>
      <c r="B1592" s="123"/>
      <c r="C1592" s="123"/>
      <c r="D1592" s="123"/>
      <c r="E1592" s="123"/>
      <c r="F1592" s="123"/>
      <c r="G1592" s="127" t="s">
        <v>384</v>
      </c>
      <c r="H1592" s="128">
        <v>2002</v>
      </c>
      <c r="I1592" s="128" t="s">
        <v>385</v>
      </c>
      <c r="J1592" s="128">
        <f t="shared" si="48"/>
        <v>4</v>
      </c>
      <c r="K1592" s="128" t="s">
        <v>2964</v>
      </c>
      <c r="L1592" s="128" t="s">
        <v>30</v>
      </c>
      <c r="M1592" s="129" t="s">
        <v>34</v>
      </c>
      <c r="N1592" s="129" t="s">
        <v>28</v>
      </c>
      <c r="O1592" s="129"/>
      <c r="P1592" s="129" t="str">
        <f t="shared" si="49"/>
        <v/>
      </c>
      <c r="Q1592" s="130"/>
      <c r="R1592" s="128">
        <v>11.5</v>
      </c>
      <c r="S1592" s="130"/>
      <c r="T1592" s="130"/>
      <c r="U1592" s="131"/>
    </row>
    <row r="1593" spans="1:21" ht="15.75" thickBot="1">
      <c r="A1593" s="123">
        <v>1429</v>
      </c>
      <c r="B1593" s="123"/>
      <c r="C1593" s="123"/>
      <c r="D1593" s="123"/>
      <c r="E1593" s="123"/>
      <c r="F1593" s="123"/>
      <c r="G1593" s="127" t="s">
        <v>384</v>
      </c>
      <c r="H1593" s="128">
        <v>2002</v>
      </c>
      <c r="I1593" s="128" t="s">
        <v>387</v>
      </c>
      <c r="J1593" s="128">
        <f t="shared" si="48"/>
        <v>2</v>
      </c>
      <c r="K1593" s="128" t="s">
        <v>2965</v>
      </c>
      <c r="L1593" s="128" t="s">
        <v>30</v>
      </c>
      <c r="M1593" s="129" t="s">
        <v>31</v>
      </c>
      <c r="N1593" s="129" t="s">
        <v>32</v>
      </c>
      <c r="O1593" s="129"/>
      <c r="P1593" s="129" t="str">
        <f t="shared" si="49"/>
        <v/>
      </c>
      <c r="Q1593" s="130"/>
      <c r="R1593" s="128">
        <v>77.7</v>
      </c>
      <c r="S1593" s="130"/>
      <c r="T1593" s="130"/>
      <c r="U1593" s="131"/>
    </row>
    <row r="1594" spans="1:21" ht="15.75" thickBot="1">
      <c r="A1594" s="123">
        <v>1429</v>
      </c>
      <c r="B1594" s="123"/>
      <c r="C1594" s="123"/>
      <c r="D1594" s="123"/>
      <c r="E1594" s="123"/>
      <c r="F1594" s="123"/>
      <c r="G1594" s="127" t="s">
        <v>384</v>
      </c>
      <c r="H1594" s="128">
        <v>2002</v>
      </c>
      <c r="I1594" s="128" t="s">
        <v>387</v>
      </c>
      <c r="J1594" s="128">
        <f t="shared" si="48"/>
        <v>2</v>
      </c>
      <c r="K1594" s="128" t="s">
        <v>2966</v>
      </c>
      <c r="L1594" s="128" t="s">
        <v>30</v>
      </c>
      <c r="M1594" s="129" t="s">
        <v>1003</v>
      </c>
      <c r="N1594" s="129" t="s">
        <v>28</v>
      </c>
      <c r="O1594" s="129"/>
      <c r="P1594" s="129" t="str">
        <f t="shared" si="49"/>
        <v/>
      </c>
      <c r="Q1594" s="128" t="s">
        <v>1004</v>
      </c>
      <c r="R1594" s="128">
        <v>22.3</v>
      </c>
      <c r="S1594" s="130"/>
      <c r="T1594" s="130"/>
      <c r="U1594" s="131"/>
    </row>
    <row r="1595" spans="1:21" ht="15.75" thickBot="1">
      <c r="A1595" s="123">
        <v>1430</v>
      </c>
      <c r="B1595" s="123"/>
      <c r="C1595" s="123"/>
      <c r="D1595" s="123"/>
      <c r="E1595" s="123"/>
      <c r="F1595" s="123"/>
      <c r="G1595" s="127" t="s">
        <v>384</v>
      </c>
      <c r="H1595" s="128">
        <v>2002</v>
      </c>
      <c r="I1595" s="128" t="s">
        <v>38</v>
      </c>
      <c r="J1595" s="128">
        <f t="shared" si="48"/>
        <v>2</v>
      </c>
      <c r="K1595" s="128" t="s">
        <v>2967</v>
      </c>
      <c r="L1595" s="128" t="s">
        <v>30</v>
      </c>
      <c r="M1595" s="129" t="s">
        <v>31</v>
      </c>
      <c r="N1595" s="129" t="s">
        <v>28</v>
      </c>
      <c r="O1595" s="129"/>
      <c r="P1595" s="129" t="str">
        <f t="shared" si="49"/>
        <v/>
      </c>
      <c r="Q1595" s="132" t="s">
        <v>2968</v>
      </c>
      <c r="R1595" s="128">
        <v>39.700000000000003</v>
      </c>
      <c r="S1595" s="130"/>
      <c r="T1595" s="130" t="s">
        <v>31</v>
      </c>
      <c r="U1595" s="131"/>
    </row>
    <row r="1596" spans="1:21" ht="15.75" thickBot="1">
      <c r="A1596" s="123">
        <v>1430</v>
      </c>
      <c r="B1596" s="123"/>
      <c r="C1596" s="123"/>
      <c r="D1596" s="123"/>
      <c r="E1596" s="123"/>
      <c r="F1596" s="123"/>
      <c r="G1596" s="127" t="s">
        <v>384</v>
      </c>
      <c r="H1596" s="128">
        <v>2002</v>
      </c>
      <c r="I1596" s="128" t="s">
        <v>38</v>
      </c>
      <c r="J1596" s="128">
        <f t="shared" si="48"/>
        <v>2</v>
      </c>
      <c r="K1596" s="128" t="s">
        <v>398</v>
      </c>
      <c r="L1596" s="128" t="s">
        <v>40</v>
      </c>
      <c r="M1596" s="129" t="s">
        <v>31</v>
      </c>
      <c r="N1596" s="129" t="s">
        <v>32</v>
      </c>
      <c r="O1596" s="129"/>
      <c r="P1596" s="129" t="str">
        <f t="shared" si="49"/>
        <v/>
      </c>
      <c r="Q1596" s="130"/>
      <c r="R1596" s="128">
        <v>60.3</v>
      </c>
      <c r="S1596" s="130"/>
      <c r="T1596" s="130"/>
      <c r="U1596" s="131"/>
    </row>
    <row r="1597" spans="1:21" ht="15.75" hidden="1" thickBot="1">
      <c r="A1597" s="123">
        <v>1424</v>
      </c>
      <c r="B1597" s="123"/>
      <c r="C1597" s="123"/>
      <c r="D1597" s="123"/>
      <c r="E1597" s="123"/>
      <c r="F1597" s="123"/>
      <c r="G1597" s="127" t="s">
        <v>384</v>
      </c>
      <c r="H1597" s="128">
        <v>2004</v>
      </c>
      <c r="I1597" s="128" t="s">
        <v>390</v>
      </c>
      <c r="J1597" s="128">
        <f t="shared" si="48"/>
        <v>3</v>
      </c>
      <c r="K1597" s="128" t="s">
        <v>2969</v>
      </c>
      <c r="L1597" s="128" t="s">
        <v>40</v>
      </c>
      <c r="M1597" s="129" t="s">
        <v>31</v>
      </c>
      <c r="N1597" s="129" t="s">
        <v>28</v>
      </c>
      <c r="O1597" s="129" t="s">
        <v>28</v>
      </c>
      <c r="P1597" s="129" t="str">
        <f t="shared" si="49"/>
        <v>N/A</v>
      </c>
      <c r="Q1597" s="130"/>
      <c r="R1597" s="128">
        <v>41.66</v>
      </c>
      <c r="S1597" s="130"/>
      <c r="T1597" s="130"/>
      <c r="U1597" s="131"/>
    </row>
    <row r="1598" spans="1:21" ht="15.75" hidden="1" thickBot="1">
      <c r="A1598" s="123">
        <v>1424</v>
      </c>
      <c r="B1598" s="123"/>
      <c r="C1598" s="123"/>
      <c r="D1598" s="123"/>
      <c r="E1598" s="123"/>
      <c r="F1598" s="123"/>
      <c r="G1598" s="127" t="s">
        <v>384</v>
      </c>
      <c r="H1598" s="128">
        <v>2004</v>
      </c>
      <c r="I1598" s="128" t="s">
        <v>390</v>
      </c>
      <c r="J1598" s="128">
        <f t="shared" si="48"/>
        <v>3</v>
      </c>
      <c r="K1598" s="128" t="s">
        <v>2964</v>
      </c>
      <c r="L1598" s="128" t="s">
        <v>30</v>
      </c>
      <c r="M1598" s="129" t="s">
        <v>34</v>
      </c>
      <c r="N1598" s="129" t="s">
        <v>28</v>
      </c>
      <c r="O1598" s="129" t="s">
        <v>28</v>
      </c>
      <c r="P1598" s="129" t="str">
        <f t="shared" si="49"/>
        <v>N/A</v>
      </c>
      <c r="Q1598" s="128" t="s">
        <v>2970</v>
      </c>
      <c r="R1598" s="128">
        <v>16.48</v>
      </c>
      <c r="S1598" s="130"/>
      <c r="T1598" s="130" t="s">
        <v>998</v>
      </c>
      <c r="U1598" s="131"/>
    </row>
    <row r="1599" spans="1:21" ht="15.75" hidden="1" thickBot="1">
      <c r="A1599" s="123">
        <v>1424</v>
      </c>
      <c r="B1599" s="123"/>
      <c r="C1599" s="123"/>
      <c r="D1599" s="123"/>
      <c r="E1599" s="123"/>
      <c r="F1599" s="123"/>
      <c r="G1599" s="127" t="s">
        <v>384</v>
      </c>
      <c r="H1599" s="128">
        <v>2004</v>
      </c>
      <c r="I1599" s="128" t="s">
        <v>390</v>
      </c>
      <c r="J1599" s="128">
        <f t="shared" si="48"/>
        <v>3</v>
      </c>
      <c r="K1599" s="128" t="s">
        <v>399</v>
      </c>
      <c r="L1599" s="128" t="s">
        <v>30</v>
      </c>
      <c r="M1599" s="129" t="s">
        <v>31</v>
      </c>
      <c r="N1599" s="129" t="s">
        <v>32</v>
      </c>
      <c r="O1599" s="129" t="s">
        <v>28</v>
      </c>
      <c r="P1599" s="129" t="str">
        <f t="shared" si="49"/>
        <v>N/A</v>
      </c>
      <c r="Q1599" s="130"/>
      <c r="R1599" s="128">
        <v>41.86</v>
      </c>
      <c r="S1599" s="130"/>
      <c r="T1599" s="130"/>
      <c r="U1599" s="131"/>
    </row>
    <row r="1600" spans="1:21" ht="15.75" hidden="1" thickBot="1">
      <c r="A1600" s="123">
        <v>1425</v>
      </c>
      <c r="B1600" s="123"/>
      <c r="C1600" s="123"/>
      <c r="D1600" s="123"/>
      <c r="E1600" s="123"/>
      <c r="F1600" s="123"/>
      <c r="G1600" s="127" t="s">
        <v>384</v>
      </c>
      <c r="H1600" s="128">
        <v>2004</v>
      </c>
      <c r="I1600" s="128" t="s">
        <v>394</v>
      </c>
      <c r="J1600" s="128">
        <f t="shared" si="48"/>
        <v>2</v>
      </c>
      <c r="K1600" s="128" t="s">
        <v>386</v>
      </c>
      <c r="L1600" s="128" t="s">
        <v>30</v>
      </c>
      <c r="M1600" s="129" t="s">
        <v>31</v>
      </c>
      <c r="N1600" s="129" t="s">
        <v>32</v>
      </c>
      <c r="O1600" s="129" t="s">
        <v>32</v>
      </c>
      <c r="P1600" s="129" t="str">
        <f t="shared" si="49"/>
        <v>Y</v>
      </c>
      <c r="Q1600" s="130"/>
      <c r="R1600" s="128">
        <v>80.06</v>
      </c>
      <c r="S1600" s="130"/>
      <c r="T1600" s="130"/>
      <c r="U1600" s="131"/>
    </row>
    <row r="1601" spans="1:21" ht="15.75" hidden="1" thickBot="1">
      <c r="A1601" s="123">
        <v>1425</v>
      </c>
      <c r="B1601" s="123"/>
      <c r="C1601" s="123"/>
      <c r="D1601" s="123"/>
      <c r="E1601" s="123"/>
      <c r="F1601" s="123"/>
      <c r="G1601" s="127" t="s">
        <v>384</v>
      </c>
      <c r="H1601" s="128">
        <v>2004</v>
      </c>
      <c r="I1601" s="128" t="s">
        <v>394</v>
      </c>
      <c r="J1601" s="128">
        <f t="shared" si="48"/>
        <v>2</v>
      </c>
      <c r="K1601" s="128" t="s">
        <v>2966</v>
      </c>
      <c r="L1601" s="128" t="s">
        <v>30</v>
      </c>
      <c r="M1601" s="129" t="s">
        <v>1003</v>
      </c>
      <c r="N1601" s="129" t="s">
        <v>28</v>
      </c>
      <c r="O1601" s="129" t="s">
        <v>28</v>
      </c>
      <c r="P1601" s="129" t="str">
        <f t="shared" si="49"/>
        <v>N/A</v>
      </c>
      <c r="Q1601" s="128" t="s">
        <v>1004</v>
      </c>
      <c r="R1601" s="128">
        <v>19.940000000000001</v>
      </c>
      <c r="S1601" s="130"/>
      <c r="T1601" s="130" t="s">
        <v>31</v>
      </c>
      <c r="U1601" s="131"/>
    </row>
    <row r="1602" spans="1:21" ht="15.75" hidden="1" thickBot="1">
      <c r="A1602" s="123">
        <v>1426</v>
      </c>
      <c r="B1602" s="123"/>
      <c r="C1602" s="123"/>
      <c r="D1602" s="123"/>
      <c r="E1602" s="123"/>
      <c r="F1602" s="123"/>
      <c r="G1602" s="127" t="s">
        <v>384</v>
      </c>
      <c r="H1602" s="128">
        <v>2004</v>
      </c>
      <c r="I1602" s="128" t="s">
        <v>392</v>
      </c>
      <c r="J1602" s="128">
        <f t="shared" ref="J1602:J1665" si="50">COUNTIF(A$2:A$2215, A1602)</f>
        <v>4</v>
      </c>
      <c r="K1602" s="128" t="s">
        <v>2961</v>
      </c>
      <c r="L1602" s="128" t="s">
        <v>30</v>
      </c>
      <c r="M1602" s="129" t="s">
        <v>31</v>
      </c>
      <c r="N1602" s="129" t="s">
        <v>28</v>
      </c>
      <c r="O1602" s="129" t="s">
        <v>28</v>
      </c>
      <c r="P1602" s="129" t="str">
        <f t="shared" si="49"/>
        <v>N/A</v>
      </c>
      <c r="Q1602" s="130"/>
      <c r="R1602" s="128">
        <v>12.15</v>
      </c>
      <c r="S1602" s="130"/>
      <c r="T1602" s="130"/>
      <c r="U1602" s="131"/>
    </row>
    <row r="1603" spans="1:21" ht="15.75" hidden="1" thickBot="1">
      <c r="A1603" s="123">
        <v>1426</v>
      </c>
      <c r="B1603" s="123"/>
      <c r="C1603" s="123"/>
      <c r="D1603" s="123"/>
      <c r="E1603" s="123"/>
      <c r="F1603" s="123"/>
      <c r="G1603" s="127" t="s">
        <v>384</v>
      </c>
      <c r="H1603" s="128">
        <v>2004</v>
      </c>
      <c r="I1603" s="128" t="s">
        <v>392</v>
      </c>
      <c r="J1603" s="128">
        <f t="shared" si="50"/>
        <v>4</v>
      </c>
      <c r="K1603" s="128" t="s">
        <v>2971</v>
      </c>
      <c r="L1603" s="128" t="s">
        <v>30</v>
      </c>
      <c r="M1603" s="129" t="s">
        <v>34</v>
      </c>
      <c r="N1603" s="129" t="s">
        <v>28</v>
      </c>
      <c r="O1603" s="129" t="s">
        <v>28</v>
      </c>
      <c r="P1603" s="129" t="str">
        <f t="shared" ref="P1603:P1666" si="51">IF(O1603="N", "N/A", IF(AND(N1603="N",  O1603="Y"), "N", IF(AND(O1603="Y", N1603="Y"), "Y", "")))</f>
        <v>N/A</v>
      </c>
      <c r="Q1603" s="128" t="s">
        <v>2972</v>
      </c>
      <c r="R1603" s="128">
        <v>27.73</v>
      </c>
      <c r="S1603" s="130"/>
      <c r="T1603" s="130" t="s">
        <v>998</v>
      </c>
      <c r="U1603" s="131"/>
    </row>
    <row r="1604" spans="1:21" ht="15.75" hidden="1" thickBot="1">
      <c r="A1604" s="123">
        <v>1426</v>
      </c>
      <c r="B1604" s="123"/>
      <c r="C1604" s="123"/>
      <c r="D1604" s="123"/>
      <c r="E1604" s="123"/>
      <c r="F1604" s="123"/>
      <c r="G1604" s="127" t="s">
        <v>384</v>
      </c>
      <c r="H1604" s="128">
        <v>2004</v>
      </c>
      <c r="I1604" s="128" t="s">
        <v>392</v>
      </c>
      <c r="J1604" s="128">
        <f t="shared" si="50"/>
        <v>4</v>
      </c>
      <c r="K1604" s="128" t="s">
        <v>400</v>
      </c>
      <c r="L1604" s="128" t="s">
        <v>30</v>
      </c>
      <c r="M1604" s="129" t="s">
        <v>31</v>
      </c>
      <c r="N1604" s="129" t="s">
        <v>32</v>
      </c>
      <c r="O1604" s="129" t="s">
        <v>28</v>
      </c>
      <c r="P1604" s="129" t="str">
        <f t="shared" si="51"/>
        <v>N/A</v>
      </c>
      <c r="Q1604" s="130"/>
      <c r="R1604" s="128">
        <v>48.1</v>
      </c>
      <c r="S1604" s="130"/>
      <c r="T1604" s="130"/>
      <c r="U1604" s="131"/>
    </row>
    <row r="1605" spans="1:21" ht="15.75" hidden="1" thickBot="1">
      <c r="A1605" s="123">
        <v>1426</v>
      </c>
      <c r="B1605" s="123"/>
      <c r="C1605" s="123"/>
      <c r="D1605" s="123"/>
      <c r="E1605" s="123"/>
      <c r="F1605" s="123"/>
      <c r="G1605" s="127" t="s">
        <v>384</v>
      </c>
      <c r="H1605" s="128">
        <v>2004</v>
      </c>
      <c r="I1605" s="128" t="s">
        <v>392</v>
      </c>
      <c r="J1605" s="128">
        <f t="shared" si="50"/>
        <v>4</v>
      </c>
      <c r="K1605" s="128" t="s">
        <v>2973</v>
      </c>
      <c r="L1605" s="128" t="s">
        <v>30</v>
      </c>
      <c r="M1605" s="129" t="s">
        <v>31</v>
      </c>
      <c r="N1605" s="129" t="s">
        <v>28</v>
      </c>
      <c r="O1605" s="129" t="s">
        <v>28</v>
      </c>
      <c r="P1605" s="129" t="str">
        <f t="shared" si="51"/>
        <v>N/A</v>
      </c>
      <c r="Q1605" s="130"/>
      <c r="R1605" s="128">
        <v>12.02</v>
      </c>
      <c r="S1605" s="130"/>
      <c r="T1605" s="130"/>
      <c r="U1605" s="131"/>
    </row>
    <row r="1606" spans="1:21" ht="15.75" hidden="1" thickBot="1">
      <c r="A1606" s="123">
        <v>1427</v>
      </c>
      <c r="B1606" s="123"/>
      <c r="C1606" s="123"/>
      <c r="D1606" s="123"/>
      <c r="E1606" s="123"/>
      <c r="F1606" s="123"/>
      <c r="G1606" s="127" t="s">
        <v>384</v>
      </c>
      <c r="H1606" s="128">
        <v>2004</v>
      </c>
      <c r="I1606" s="128" t="s">
        <v>396</v>
      </c>
      <c r="J1606" s="128">
        <f t="shared" si="50"/>
        <v>3</v>
      </c>
      <c r="K1606" s="128" t="s">
        <v>2974</v>
      </c>
      <c r="L1606" s="128" t="s">
        <v>30</v>
      </c>
      <c r="M1606" s="129" t="s">
        <v>31</v>
      </c>
      <c r="N1606" s="129" t="s">
        <v>28</v>
      </c>
      <c r="O1606" s="129" t="s">
        <v>28</v>
      </c>
      <c r="P1606" s="129" t="str">
        <f t="shared" si="51"/>
        <v>N/A</v>
      </c>
      <c r="Q1606" s="132" t="s">
        <v>2975</v>
      </c>
      <c r="R1606" s="128">
        <v>33.979999999999997</v>
      </c>
      <c r="S1606" s="130"/>
      <c r="T1606" s="130" t="s">
        <v>31</v>
      </c>
      <c r="U1606" s="131"/>
    </row>
    <row r="1607" spans="1:21" ht="15.75" hidden="1" thickBot="1">
      <c r="A1607" s="123">
        <v>1427</v>
      </c>
      <c r="B1607" s="123"/>
      <c r="C1607" s="123"/>
      <c r="D1607" s="123"/>
      <c r="E1607" s="123"/>
      <c r="F1607" s="123"/>
      <c r="G1607" s="127" t="s">
        <v>384</v>
      </c>
      <c r="H1607" s="128">
        <v>2004</v>
      </c>
      <c r="I1607" s="128" t="s">
        <v>396</v>
      </c>
      <c r="J1607" s="128">
        <f t="shared" si="50"/>
        <v>3</v>
      </c>
      <c r="K1607" s="128" t="s">
        <v>2976</v>
      </c>
      <c r="L1607" s="128" t="s">
        <v>40</v>
      </c>
      <c r="M1607" s="129" t="s">
        <v>31</v>
      </c>
      <c r="N1607" s="129" t="s">
        <v>32</v>
      </c>
      <c r="O1607" s="129" t="s">
        <v>28</v>
      </c>
      <c r="P1607" s="129" t="str">
        <f t="shared" si="51"/>
        <v>N/A</v>
      </c>
      <c r="Q1607" s="130"/>
      <c r="R1607" s="128">
        <v>52.6</v>
      </c>
      <c r="S1607" s="130"/>
      <c r="T1607" s="130"/>
      <c r="U1607" s="131"/>
    </row>
    <row r="1608" spans="1:21" ht="15.75" hidden="1" thickBot="1">
      <c r="A1608" s="123">
        <v>1427</v>
      </c>
      <c r="B1608" s="123"/>
      <c r="C1608" s="123"/>
      <c r="D1608" s="123"/>
      <c r="E1608" s="123"/>
      <c r="F1608" s="123"/>
      <c r="G1608" s="127" t="s">
        <v>384</v>
      </c>
      <c r="H1608" s="128">
        <v>2004</v>
      </c>
      <c r="I1608" s="128" t="s">
        <v>396</v>
      </c>
      <c r="J1608" s="128">
        <f t="shared" si="50"/>
        <v>3</v>
      </c>
      <c r="K1608" s="128" t="s">
        <v>2977</v>
      </c>
      <c r="L1608" s="128" t="s">
        <v>30</v>
      </c>
      <c r="M1608" s="129" t="s">
        <v>31</v>
      </c>
      <c r="N1608" s="129" t="s">
        <v>28</v>
      </c>
      <c r="O1608" s="129" t="s">
        <v>28</v>
      </c>
      <c r="P1608" s="129" t="str">
        <f t="shared" si="51"/>
        <v>N/A</v>
      </c>
      <c r="Q1608" s="128" t="s">
        <v>2978</v>
      </c>
      <c r="R1608" s="128">
        <v>13.43</v>
      </c>
      <c r="S1608" s="130"/>
      <c r="T1608" s="130" t="s">
        <v>31</v>
      </c>
      <c r="U1608" s="131"/>
    </row>
    <row r="1609" spans="1:21" ht="15.75" hidden="1" thickBot="1">
      <c r="A1609" s="123">
        <v>1421</v>
      </c>
      <c r="B1609" s="123"/>
      <c r="C1609" s="123"/>
      <c r="D1609" s="123"/>
      <c r="E1609" s="123"/>
      <c r="F1609" s="123"/>
      <c r="G1609" s="127" t="s">
        <v>384</v>
      </c>
      <c r="H1609" s="128">
        <v>2006</v>
      </c>
      <c r="I1609" s="128" t="s">
        <v>385</v>
      </c>
      <c r="J1609" s="128">
        <f t="shared" si="50"/>
        <v>2</v>
      </c>
      <c r="K1609" s="128" t="s">
        <v>388</v>
      </c>
      <c r="L1609" s="128" t="s">
        <v>30</v>
      </c>
      <c r="M1609" s="129" t="s">
        <v>31</v>
      </c>
      <c r="N1609" s="129" t="s">
        <v>32</v>
      </c>
      <c r="O1609" s="129" t="s">
        <v>32</v>
      </c>
      <c r="P1609" s="129" t="str">
        <f t="shared" si="51"/>
        <v>Y</v>
      </c>
      <c r="Q1609" s="132" t="s">
        <v>2979</v>
      </c>
      <c r="R1609" s="128">
        <v>55.59</v>
      </c>
      <c r="S1609" s="130"/>
      <c r="T1609" s="130" t="s">
        <v>31</v>
      </c>
      <c r="U1609" s="131"/>
    </row>
    <row r="1610" spans="1:21" ht="15.75" hidden="1" thickBot="1">
      <c r="A1610" s="123">
        <v>1421</v>
      </c>
      <c r="B1610" s="123"/>
      <c r="C1610" s="123"/>
      <c r="D1610" s="123"/>
      <c r="E1610" s="123"/>
      <c r="F1610" s="123"/>
      <c r="G1610" s="127" t="s">
        <v>384</v>
      </c>
      <c r="H1610" s="128">
        <v>2006</v>
      </c>
      <c r="I1610" s="128" t="s">
        <v>385</v>
      </c>
      <c r="J1610" s="128">
        <f t="shared" si="50"/>
        <v>2</v>
      </c>
      <c r="K1610" s="128" t="s">
        <v>2969</v>
      </c>
      <c r="L1610" s="128" t="s">
        <v>40</v>
      </c>
      <c r="M1610" s="129" t="s">
        <v>31</v>
      </c>
      <c r="N1610" s="129" t="s">
        <v>28</v>
      </c>
      <c r="O1610" s="129" t="s">
        <v>28</v>
      </c>
      <c r="P1610" s="129" t="str">
        <f t="shared" si="51"/>
        <v>N/A</v>
      </c>
      <c r="Q1610" s="130"/>
      <c r="R1610" s="128">
        <v>44.41</v>
      </c>
      <c r="S1610" s="130"/>
      <c r="T1610" s="130"/>
      <c r="U1610" s="131"/>
    </row>
    <row r="1611" spans="1:21" ht="15.75" hidden="1" thickBot="1">
      <c r="A1611" s="123">
        <v>1422</v>
      </c>
      <c r="B1611" s="123"/>
      <c r="C1611" s="123"/>
      <c r="D1611" s="123"/>
      <c r="E1611" s="123"/>
      <c r="F1611" s="123"/>
      <c r="G1611" s="127" t="s">
        <v>384</v>
      </c>
      <c r="H1611" s="128">
        <v>2006</v>
      </c>
      <c r="I1611" s="128" t="s">
        <v>387</v>
      </c>
      <c r="J1611" s="128">
        <f t="shared" si="50"/>
        <v>3</v>
      </c>
      <c r="K1611" s="128" t="s">
        <v>2980</v>
      </c>
      <c r="L1611" s="128" t="s">
        <v>30</v>
      </c>
      <c r="M1611" s="129" t="s">
        <v>31</v>
      </c>
      <c r="N1611" s="129" t="s">
        <v>28</v>
      </c>
      <c r="O1611" s="129" t="s">
        <v>28</v>
      </c>
      <c r="P1611" s="129" t="str">
        <f t="shared" si="51"/>
        <v>N/A</v>
      </c>
      <c r="Q1611" s="128" t="s">
        <v>2981</v>
      </c>
      <c r="R1611" s="128">
        <v>33.58</v>
      </c>
      <c r="S1611" s="130"/>
      <c r="T1611" s="130" t="s">
        <v>31</v>
      </c>
      <c r="U1611" s="131"/>
    </row>
    <row r="1612" spans="1:21" ht="15.75" hidden="1" thickBot="1">
      <c r="A1612" s="123">
        <v>1422</v>
      </c>
      <c r="B1612" s="123"/>
      <c r="C1612" s="123"/>
      <c r="D1612" s="123"/>
      <c r="E1612" s="123"/>
      <c r="F1612" s="123"/>
      <c r="G1612" s="127" t="s">
        <v>384</v>
      </c>
      <c r="H1612" s="128">
        <v>2006</v>
      </c>
      <c r="I1612" s="128" t="s">
        <v>387</v>
      </c>
      <c r="J1612" s="128">
        <f t="shared" si="50"/>
        <v>3</v>
      </c>
      <c r="K1612" s="128" t="s">
        <v>2961</v>
      </c>
      <c r="L1612" s="128" t="s">
        <v>30</v>
      </c>
      <c r="M1612" s="129" t="s">
        <v>31</v>
      </c>
      <c r="N1612" s="129" t="s">
        <v>28</v>
      </c>
      <c r="O1612" s="129" t="s">
        <v>28</v>
      </c>
      <c r="P1612" s="129" t="str">
        <f t="shared" si="51"/>
        <v>N/A</v>
      </c>
      <c r="Q1612" s="128" t="s">
        <v>2982</v>
      </c>
      <c r="R1612" s="128">
        <v>16.29</v>
      </c>
      <c r="S1612" s="130"/>
      <c r="T1612" s="130" t="s">
        <v>31</v>
      </c>
      <c r="U1612" s="131"/>
    </row>
    <row r="1613" spans="1:21" ht="15.75" hidden="1" thickBot="1">
      <c r="A1613" s="123">
        <v>1422</v>
      </c>
      <c r="B1613" s="123"/>
      <c r="C1613" s="123"/>
      <c r="D1613" s="123"/>
      <c r="E1613" s="123"/>
      <c r="F1613" s="123"/>
      <c r="G1613" s="127" t="s">
        <v>384</v>
      </c>
      <c r="H1613" s="128">
        <v>2006</v>
      </c>
      <c r="I1613" s="128" t="s">
        <v>387</v>
      </c>
      <c r="J1613" s="128">
        <f t="shared" si="50"/>
        <v>3</v>
      </c>
      <c r="K1613" s="128" t="s">
        <v>402</v>
      </c>
      <c r="L1613" s="128" t="s">
        <v>30</v>
      </c>
      <c r="M1613" s="129" t="s">
        <v>31</v>
      </c>
      <c r="N1613" s="129" t="s">
        <v>32</v>
      </c>
      <c r="O1613" s="129" t="s">
        <v>28</v>
      </c>
      <c r="P1613" s="129" t="str">
        <f t="shared" si="51"/>
        <v>N/A</v>
      </c>
      <c r="Q1613" s="128" t="s">
        <v>2983</v>
      </c>
      <c r="R1613" s="128">
        <v>50.13</v>
      </c>
      <c r="S1613" s="130"/>
      <c r="T1613" s="130" t="s">
        <v>31</v>
      </c>
      <c r="U1613" s="131"/>
    </row>
    <row r="1614" spans="1:21" ht="15.75" hidden="1" thickBot="1">
      <c r="A1614" s="123">
        <v>1423</v>
      </c>
      <c r="B1614" s="123"/>
      <c r="C1614" s="123"/>
      <c r="D1614" s="123"/>
      <c r="E1614" s="123"/>
      <c r="F1614" s="123"/>
      <c r="G1614" s="127" t="s">
        <v>384</v>
      </c>
      <c r="H1614" s="128">
        <v>2006</v>
      </c>
      <c r="I1614" s="128" t="s">
        <v>38</v>
      </c>
      <c r="J1614" s="128">
        <f t="shared" si="50"/>
        <v>2</v>
      </c>
      <c r="K1614" s="128" t="s">
        <v>405</v>
      </c>
      <c r="L1614" s="128" t="s">
        <v>30</v>
      </c>
      <c r="M1614" s="129" t="s">
        <v>31</v>
      </c>
      <c r="N1614" s="129" t="s">
        <v>28</v>
      </c>
      <c r="O1614" s="129" t="s">
        <v>28</v>
      </c>
      <c r="P1614" s="129" t="str">
        <f t="shared" si="51"/>
        <v>N/A</v>
      </c>
      <c r="Q1614" s="128" t="s">
        <v>2984</v>
      </c>
      <c r="R1614" s="128">
        <v>31.24</v>
      </c>
      <c r="S1614" s="130"/>
      <c r="T1614" s="130" t="s">
        <v>31</v>
      </c>
      <c r="U1614" s="131"/>
    </row>
    <row r="1615" spans="1:21" ht="15.75" hidden="1" thickBot="1">
      <c r="A1615" s="123">
        <v>1423</v>
      </c>
      <c r="B1615" s="123"/>
      <c r="C1615" s="123"/>
      <c r="D1615" s="123"/>
      <c r="E1615" s="123"/>
      <c r="F1615" s="123"/>
      <c r="G1615" s="127" t="s">
        <v>384</v>
      </c>
      <c r="H1615" s="128">
        <v>2006</v>
      </c>
      <c r="I1615" s="128" t="s">
        <v>38</v>
      </c>
      <c r="J1615" s="128">
        <f t="shared" si="50"/>
        <v>2</v>
      </c>
      <c r="K1615" s="128" t="s">
        <v>398</v>
      </c>
      <c r="L1615" s="128" t="s">
        <v>40</v>
      </c>
      <c r="M1615" s="129" t="s">
        <v>31</v>
      </c>
      <c r="N1615" s="129" t="s">
        <v>32</v>
      </c>
      <c r="O1615" s="129" t="s">
        <v>32</v>
      </c>
      <c r="P1615" s="129" t="str">
        <f t="shared" si="51"/>
        <v>Y</v>
      </c>
      <c r="Q1615" s="132" t="s">
        <v>2985</v>
      </c>
      <c r="R1615" s="128">
        <v>68.760000000000005</v>
      </c>
      <c r="S1615" s="130"/>
      <c r="T1615" s="130" t="s">
        <v>31</v>
      </c>
      <c r="U1615" s="131"/>
    </row>
    <row r="1616" spans="1:21" ht="15.75" hidden="1" thickBot="1">
      <c r="A1616" s="123">
        <v>1417</v>
      </c>
      <c r="B1616" s="123"/>
      <c r="C1616" s="123"/>
      <c r="D1616" s="123"/>
      <c r="E1616" s="123"/>
      <c r="F1616" s="123"/>
      <c r="G1616" s="127" t="s">
        <v>384</v>
      </c>
      <c r="H1616" s="128">
        <v>2008</v>
      </c>
      <c r="I1616" s="128" t="s">
        <v>390</v>
      </c>
      <c r="J1616" s="128">
        <f t="shared" si="50"/>
        <v>3</v>
      </c>
      <c r="K1616" s="128" t="s">
        <v>2973</v>
      </c>
      <c r="L1616" s="128" t="s">
        <v>30</v>
      </c>
      <c r="M1616" s="129" t="s">
        <v>31</v>
      </c>
      <c r="N1616" s="129" t="s">
        <v>28</v>
      </c>
      <c r="O1616" s="129" t="s">
        <v>28</v>
      </c>
      <c r="P1616" s="129" t="str">
        <f t="shared" si="51"/>
        <v>N/A</v>
      </c>
      <c r="Q1616" s="128" t="s">
        <v>2986</v>
      </c>
      <c r="R1616" s="128">
        <v>14.37</v>
      </c>
      <c r="S1616" s="130"/>
      <c r="T1616" s="130" t="s">
        <v>31</v>
      </c>
      <c r="U1616" s="131"/>
    </row>
    <row r="1617" spans="1:21" ht="15.75" hidden="1" thickBot="1">
      <c r="A1617" s="123">
        <v>1417</v>
      </c>
      <c r="B1617" s="123"/>
      <c r="C1617" s="123"/>
      <c r="D1617" s="123"/>
      <c r="E1617" s="123"/>
      <c r="F1617" s="123"/>
      <c r="G1617" s="127" t="s">
        <v>384</v>
      </c>
      <c r="H1617" s="128">
        <v>2008</v>
      </c>
      <c r="I1617" s="128" t="s">
        <v>390</v>
      </c>
      <c r="J1617" s="128">
        <f t="shared" si="50"/>
        <v>3</v>
      </c>
      <c r="K1617" s="128" t="s">
        <v>2987</v>
      </c>
      <c r="L1617" s="128" t="s">
        <v>40</v>
      </c>
      <c r="M1617" s="129" t="s">
        <v>31</v>
      </c>
      <c r="N1617" s="129" t="s">
        <v>28</v>
      </c>
      <c r="O1617" s="129" t="s">
        <v>28</v>
      </c>
      <c r="P1617" s="129" t="str">
        <f t="shared" si="51"/>
        <v>N/A</v>
      </c>
      <c r="Q1617" s="128" t="s">
        <v>2988</v>
      </c>
      <c r="R1617" s="128">
        <v>27.75</v>
      </c>
      <c r="S1617" s="130"/>
      <c r="T1617" s="130" t="s">
        <v>31</v>
      </c>
      <c r="U1617" s="131"/>
    </row>
    <row r="1618" spans="1:21" ht="15.75" hidden="1" thickBot="1">
      <c r="A1618" s="123">
        <v>1417</v>
      </c>
      <c r="B1618" s="123"/>
      <c r="C1618" s="123"/>
      <c r="D1618" s="123"/>
      <c r="E1618" s="123"/>
      <c r="F1618" s="123"/>
      <c r="G1618" s="127" t="s">
        <v>384</v>
      </c>
      <c r="H1618" s="128">
        <v>2008</v>
      </c>
      <c r="I1618" s="128" t="s">
        <v>390</v>
      </c>
      <c r="J1618" s="128">
        <f t="shared" si="50"/>
        <v>3</v>
      </c>
      <c r="K1618" s="128" t="s">
        <v>399</v>
      </c>
      <c r="L1618" s="128" t="s">
        <v>30</v>
      </c>
      <c r="M1618" s="129" t="s">
        <v>31</v>
      </c>
      <c r="N1618" s="129" t="s">
        <v>32</v>
      </c>
      <c r="O1618" s="129" t="s">
        <v>32</v>
      </c>
      <c r="P1618" s="129" t="str">
        <f t="shared" si="51"/>
        <v>Y</v>
      </c>
      <c r="Q1618" s="128" t="s">
        <v>2989</v>
      </c>
      <c r="R1618" s="128">
        <v>57.88</v>
      </c>
      <c r="S1618" s="130"/>
      <c r="T1618" s="130" t="s">
        <v>31</v>
      </c>
      <c r="U1618" s="131"/>
    </row>
    <row r="1619" spans="1:21" ht="15.75" hidden="1" thickBot="1">
      <c r="A1619" s="123">
        <v>1418</v>
      </c>
      <c r="B1619" s="123"/>
      <c r="C1619" s="123"/>
      <c r="D1619" s="123"/>
      <c r="E1619" s="123"/>
      <c r="F1619" s="123"/>
      <c r="G1619" s="127" t="s">
        <v>384</v>
      </c>
      <c r="H1619" s="128">
        <v>2008</v>
      </c>
      <c r="I1619" s="128" t="s">
        <v>396</v>
      </c>
      <c r="J1619" s="128">
        <f t="shared" si="50"/>
        <v>3</v>
      </c>
      <c r="K1619" s="128" t="s">
        <v>2990</v>
      </c>
      <c r="L1619" s="128" t="s">
        <v>30</v>
      </c>
      <c r="M1619" s="129" t="s">
        <v>31</v>
      </c>
      <c r="N1619" s="129" t="s">
        <v>28</v>
      </c>
      <c r="O1619" s="129" t="s">
        <v>28</v>
      </c>
      <c r="P1619" s="129" t="str">
        <f t="shared" si="51"/>
        <v>N/A</v>
      </c>
      <c r="Q1619" s="128" t="s">
        <v>2991</v>
      </c>
      <c r="R1619" s="128">
        <v>26.98</v>
      </c>
      <c r="S1619" s="130"/>
      <c r="T1619" s="130" t="s">
        <v>31</v>
      </c>
      <c r="U1619" s="131"/>
    </row>
    <row r="1620" spans="1:21" ht="15.75" hidden="1" thickBot="1">
      <c r="A1620" s="123">
        <v>1418</v>
      </c>
      <c r="B1620" s="123"/>
      <c r="C1620" s="123"/>
      <c r="D1620" s="123"/>
      <c r="E1620" s="123"/>
      <c r="F1620" s="123"/>
      <c r="G1620" s="127" t="s">
        <v>384</v>
      </c>
      <c r="H1620" s="128">
        <v>2008</v>
      </c>
      <c r="I1620" s="128" t="s">
        <v>396</v>
      </c>
      <c r="J1620" s="128">
        <f t="shared" si="50"/>
        <v>3</v>
      </c>
      <c r="K1620" s="128" t="s">
        <v>2992</v>
      </c>
      <c r="L1620" s="128" t="s">
        <v>30</v>
      </c>
      <c r="M1620" s="129" t="s">
        <v>31</v>
      </c>
      <c r="N1620" s="129" t="s">
        <v>28</v>
      </c>
      <c r="O1620" s="129" t="s">
        <v>28</v>
      </c>
      <c r="P1620" s="129" t="str">
        <f t="shared" si="51"/>
        <v>N/A</v>
      </c>
      <c r="Q1620" s="128" t="s">
        <v>2993</v>
      </c>
      <c r="R1620" s="128">
        <v>13.49</v>
      </c>
      <c r="S1620" s="130"/>
      <c r="T1620" s="130" t="s">
        <v>31</v>
      </c>
      <c r="U1620" s="131"/>
    </row>
    <row r="1621" spans="1:21" ht="15.75" hidden="1" thickBot="1">
      <c r="A1621" s="123">
        <v>1418</v>
      </c>
      <c r="B1621" s="123"/>
      <c r="C1621" s="123"/>
      <c r="D1621" s="123"/>
      <c r="E1621" s="123"/>
      <c r="F1621" s="123"/>
      <c r="G1621" s="127" t="s">
        <v>384</v>
      </c>
      <c r="H1621" s="128">
        <v>2008</v>
      </c>
      <c r="I1621" s="128" t="s">
        <v>396</v>
      </c>
      <c r="J1621" s="128">
        <f t="shared" si="50"/>
        <v>3</v>
      </c>
      <c r="K1621" s="128" t="s">
        <v>2976</v>
      </c>
      <c r="L1621" s="128" t="s">
        <v>40</v>
      </c>
      <c r="M1621" s="129" t="s">
        <v>31</v>
      </c>
      <c r="N1621" s="129" t="s">
        <v>32</v>
      </c>
      <c r="O1621" s="129" t="s">
        <v>28</v>
      </c>
      <c r="P1621" s="129" t="str">
        <f t="shared" si="51"/>
        <v>N/A</v>
      </c>
      <c r="Q1621" s="128" t="s">
        <v>2994</v>
      </c>
      <c r="R1621" s="128">
        <v>59.53</v>
      </c>
      <c r="S1621" s="130"/>
      <c r="T1621" s="130" t="s">
        <v>31</v>
      </c>
      <c r="U1621" s="131"/>
    </row>
    <row r="1622" spans="1:21" ht="15.75" hidden="1" thickBot="1">
      <c r="A1622" s="123">
        <v>1419</v>
      </c>
      <c r="B1622" s="123"/>
      <c r="C1622" s="123"/>
      <c r="D1622" s="123"/>
      <c r="E1622" s="123"/>
      <c r="F1622" s="123"/>
      <c r="G1622" s="127" t="s">
        <v>384</v>
      </c>
      <c r="H1622" s="128">
        <v>2008</v>
      </c>
      <c r="I1622" s="128" t="s">
        <v>394</v>
      </c>
      <c r="J1622" s="128">
        <f t="shared" si="50"/>
        <v>2</v>
      </c>
      <c r="K1622" s="128" t="s">
        <v>2980</v>
      </c>
      <c r="L1622" s="128" t="s">
        <v>30</v>
      </c>
      <c r="M1622" s="129" t="s">
        <v>31</v>
      </c>
      <c r="N1622" s="129" t="s">
        <v>28</v>
      </c>
      <c r="O1622" s="129" t="s">
        <v>28</v>
      </c>
      <c r="P1622" s="129" t="str">
        <f t="shared" si="51"/>
        <v>N/A</v>
      </c>
      <c r="Q1622" s="128" t="s">
        <v>2981</v>
      </c>
      <c r="R1622" s="128">
        <v>36.72</v>
      </c>
      <c r="S1622" s="130"/>
      <c r="T1622" s="130" t="s">
        <v>31</v>
      </c>
      <c r="U1622" s="131"/>
    </row>
    <row r="1623" spans="1:21" ht="15.75" hidden="1" thickBot="1">
      <c r="A1623" s="123">
        <v>1419</v>
      </c>
      <c r="B1623" s="123"/>
      <c r="C1623" s="123"/>
      <c r="D1623" s="123"/>
      <c r="E1623" s="123"/>
      <c r="F1623" s="123"/>
      <c r="G1623" s="127" t="s">
        <v>384</v>
      </c>
      <c r="H1623" s="128">
        <v>2008</v>
      </c>
      <c r="I1623" s="128" t="s">
        <v>394</v>
      </c>
      <c r="J1623" s="128">
        <f t="shared" si="50"/>
        <v>2</v>
      </c>
      <c r="K1623" s="128" t="s">
        <v>2965</v>
      </c>
      <c r="L1623" s="128" t="s">
        <v>30</v>
      </c>
      <c r="M1623" s="129" t="s">
        <v>31</v>
      </c>
      <c r="N1623" s="129" t="s">
        <v>32</v>
      </c>
      <c r="O1623" s="129" t="s">
        <v>32</v>
      </c>
      <c r="P1623" s="129" t="str">
        <f t="shared" si="51"/>
        <v>Y</v>
      </c>
      <c r="Q1623" s="130"/>
      <c r="R1623" s="128">
        <v>63.28</v>
      </c>
      <c r="S1623" s="130"/>
      <c r="T1623" s="130"/>
      <c r="U1623" s="131"/>
    </row>
    <row r="1624" spans="1:21" ht="15.75" hidden="1" thickBot="1">
      <c r="A1624" s="123">
        <v>1420</v>
      </c>
      <c r="B1624" s="123"/>
      <c r="C1624" s="123"/>
      <c r="D1624" s="123"/>
      <c r="E1624" s="123"/>
      <c r="F1624" s="123"/>
      <c r="G1624" s="127" t="s">
        <v>384</v>
      </c>
      <c r="H1624" s="128">
        <v>2008</v>
      </c>
      <c r="I1624" s="128" t="s">
        <v>392</v>
      </c>
      <c r="J1624" s="128">
        <f t="shared" si="50"/>
        <v>1</v>
      </c>
      <c r="K1624" s="128" t="s">
        <v>400</v>
      </c>
      <c r="L1624" s="128" t="s">
        <v>30</v>
      </c>
      <c r="M1624" s="129" t="s">
        <v>31</v>
      </c>
      <c r="N1624" s="129" t="s">
        <v>32</v>
      </c>
      <c r="O1624" s="129" t="s">
        <v>32</v>
      </c>
      <c r="P1624" s="129" t="str">
        <f t="shared" si="51"/>
        <v>Y</v>
      </c>
      <c r="Q1624" s="128" t="s">
        <v>2995</v>
      </c>
      <c r="R1624" s="128">
        <v>100</v>
      </c>
      <c r="S1624" s="130"/>
      <c r="T1624" s="130" t="s">
        <v>31</v>
      </c>
      <c r="U1624" s="131"/>
    </row>
    <row r="1625" spans="1:21" ht="15.75" hidden="1" thickBot="1">
      <c r="A1625" s="123">
        <v>1414</v>
      </c>
      <c r="B1625" s="123"/>
      <c r="C1625" s="123"/>
      <c r="D1625" s="123"/>
      <c r="E1625" s="123"/>
      <c r="F1625" s="123"/>
      <c r="G1625" s="127" t="s">
        <v>384</v>
      </c>
      <c r="H1625" s="128">
        <v>2010</v>
      </c>
      <c r="I1625" s="128" t="s">
        <v>385</v>
      </c>
      <c r="J1625" s="128">
        <f t="shared" si="50"/>
        <v>2</v>
      </c>
      <c r="K1625" s="128" t="s">
        <v>2996</v>
      </c>
      <c r="L1625" s="128" t="s">
        <v>30</v>
      </c>
      <c r="M1625" s="129" t="s">
        <v>34</v>
      </c>
      <c r="N1625" s="129" t="s">
        <v>28</v>
      </c>
      <c r="O1625" s="129" t="s">
        <v>28</v>
      </c>
      <c r="P1625" s="129" t="str">
        <f t="shared" si="51"/>
        <v>N/A</v>
      </c>
      <c r="Q1625" s="130"/>
      <c r="R1625" s="128">
        <v>45.88</v>
      </c>
      <c r="S1625" s="130"/>
      <c r="T1625" s="130"/>
      <c r="U1625" s="131"/>
    </row>
    <row r="1626" spans="1:21" ht="15.75" hidden="1" thickBot="1">
      <c r="A1626" s="123">
        <v>1414</v>
      </c>
      <c r="B1626" s="123"/>
      <c r="C1626" s="123"/>
      <c r="D1626" s="123"/>
      <c r="E1626" s="123"/>
      <c r="F1626" s="123"/>
      <c r="G1626" s="127" t="s">
        <v>384</v>
      </c>
      <c r="H1626" s="128">
        <v>2010</v>
      </c>
      <c r="I1626" s="128" t="s">
        <v>385</v>
      </c>
      <c r="J1626" s="128">
        <f t="shared" si="50"/>
        <v>2</v>
      </c>
      <c r="K1626" s="128" t="s">
        <v>386</v>
      </c>
      <c r="L1626" s="128" t="s">
        <v>30</v>
      </c>
      <c r="M1626" s="129" t="s">
        <v>31</v>
      </c>
      <c r="N1626" s="129" t="s">
        <v>32</v>
      </c>
      <c r="O1626" s="129" t="s">
        <v>28</v>
      </c>
      <c r="P1626" s="129" t="str">
        <f t="shared" si="51"/>
        <v>N/A</v>
      </c>
      <c r="Q1626" s="130"/>
      <c r="R1626" s="128">
        <v>54.12</v>
      </c>
      <c r="S1626" s="130"/>
      <c r="T1626" s="130"/>
      <c r="U1626" s="131"/>
    </row>
    <row r="1627" spans="1:21" ht="15.75" hidden="1" thickBot="1">
      <c r="A1627" s="123">
        <v>1415</v>
      </c>
      <c r="B1627" s="123"/>
      <c r="C1627" s="123"/>
      <c r="D1627" s="123"/>
      <c r="E1627" s="123"/>
      <c r="F1627" s="123"/>
      <c r="G1627" s="127" t="s">
        <v>384</v>
      </c>
      <c r="H1627" s="128">
        <v>2010</v>
      </c>
      <c r="I1627" s="128" t="s">
        <v>387</v>
      </c>
      <c r="J1627" s="128">
        <f t="shared" si="50"/>
        <v>2</v>
      </c>
      <c r="K1627" s="128" t="s">
        <v>398</v>
      </c>
      <c r="L1627" s="128" t="s">
        <v>40</v>
      </c>
      <c r="M1627" s="129" t="s">
        <v>31</v>
      </c>
      <c r="N1627" s="129" t="s">
        <v>32</v>
      </c>
      <c r="O1627" s="129" t="s">
        <v>28</v>
      </c>
      <c r="P1627" s="129" t="str">
        <f t="shared" si="51"/>
        <v>N/A</v>
      </c>
      <c r="Q1627" s="128" t="s">
        <v>2997</v>
      </c>
      <c r="R1627" s="128">
        <v>56.27</v>
      </c>
      <c r="S1627" s="130"/>
      <c r="T1627" s="130" t="s">
        <v>31</v>
      </c>
      <c r="U1627" s="131"/>
    </row>
    <row r="1628" spans="1:21" ht="15.75" hidden="1" thickBot="1">
      <c r="A1628" s="123">
        <v>1415</v>
      </c>
      <c r="B1628" s="123"/>
      <c r="C1628" s="123"/>
      <c r="D1628" s="123"/>
      <c r="E1628" s="123"/>
      <c r="F1628" s="123"/>
      <c r="G1628" s="127" t="s">
        <v>384</v>
      </c>
      <c r="H1628" s="128">
        <v>2010</v>
      </c>
      <c r="I1628" s="128" t="s">
        <v>387</v>
      </c>
      <c r="J1628" s="128">
        <f t="shared" si="50"/>
        <v>2</v>
      </c>
      <c r="K1628" s="128" t="s">
        <v>397</v>
      </c>
      <c r="L1628" s="128" t="s">
        <v>40</v>
      </c>
      <c r="M1628" s="129" t="s">
        <v>31</v>
      </c>
      <c r="N1628" s="129" t="s">
        <v>28</v>
      </c>
      <c r="O1628" s="129" t="s">
        <v>28</v>
      </c>
      <c r="P1628" s="129" t="str">
        <f t="shared" si="51"/>
        <v>N/A</v>
      </c>
      <c r="Q1628" s="132" t="s">
        <v>2998</v>
      </c>
      <c r="R1628" s="128">
        <v>43.73</v>
      </c>
      <c r="S1628" s="130"/>
      <c r="T1628" s="130" t="s">
        <v>31</v>
      </c>
      <c r="U1628" s="131"/>
    </row>
    <row r="1629" spans="1:21" ht="15.75" hidden="1" thickBot="1">
      <c r="A1629" s="123">
        <v>1416</v>
      </c>
      <c r="B1629" s="123"/>
      <c r="C1629" s="123"/>
      <c r="D1629" s="123"/>
      <c r="E1629" s="123"/>
      <c r="F1629" s="123"/>
      <c r="G1629" s="127" t="s">
        <v>384</v>
      </c>
      <c r="H1629" s="128">
        <v>2010</v>
      </c>
      <c r="I1629" s="128" t="s">
        <v>38</v>
      </c>
      <c r="J1629" s="128">
        <f t="shared" si="50"/>
        <v>2</v>
      </c>
      <c r="K1629" s="128" t="s">
        <v>2956</v>
      </c>
      <c r="L1629" s="128" t="s">
        <v>30</v>
      </c>
      <c r="M1629" s="129" t="s">
        <v>31</v>
      </c>
      <c r="N1629" s="129" t="s">
        <v>28</v>
      </c>
      <c r="O1629" s="129" t="s">
        <v>28</v>
      </c>
      <c r="P1629" s="129" t="str">
        <f t="shared" si="51"/>
        <v>N/A</v>
      </c>
      <c r="Q1629" s="128" t="s">
        <v>2999</v>
      </c>
      <c r="R1629" s="128">
        <v>36.57</v>
      </c>
      <c r="S1629" s="130"/>
      <c r="T1629" s="130" t="s">
        <v>31</v>
      </c>
      <c r="U1629" s="131"/>
    </row>
    <row r="1630" spans="1:21" ht="15.75" hidden="1" thickBot="1">
      <c r="A1630" s="123">
        <v>1416</v>
      </c>
      <c r="B1630" s="123"/>
      <c r="C1630" s="123"/>
      <c r="D1630" s="123"/>
      <c r="E1630" s="123"/>
      <c r="F1630" s="123"/>
      <c r="G1630" s="127" t="s">
        <v>384</v>
      </c>
      <c r="H1630" s="128">
        <v>2010</v>
      </c>
      <c r="I1630" s="128" t="s">
        <v>38</v>
      </c>
      <c r="J1630" s="128">
        <f t="shared" si="50"/>
        <v>2</v>
      </c>
      <c r="K1630" s="128" t="s">
        <v>2965</v>
      </c>
      <c r="L1630" s="128" t="s">
        <v>30</v>
      </c>
      <c r="M1630" s="129" t="s">
        <v>31</v>
      </c>
      <c r="N1630" s="129" t="s">
        <v>32</v>
      </c>
      <c r="O1630" s="129" t="s">
        <v>28</v>
      </c>
      <c r="P1630" s="129" t="str">
        <f t="shared" si="51"/>
        <v>N/A</v>
      </c>
      <c r="Q1630" s="130"/>
      <c r="R1630" s="128">
        <v>63.43</v>
      </c>
      <c r="S1630" s="130"/>
      <c r="T1630" s="130"/>
      <c r="U1630" s="131"/>
    </row>
    <row r="1631" spans="1:21" ht="15.75" hidden="1" thickBot="1">
      <c r="A1631" s="123">
        <v>1410</v>
      </c>
      <c r="B1631" s="123"/>
      <c r="C1631" s="123"/>
      <c r="D1631" s="123"/>
      <c r="E1631" s="123"/>
      <c r="F1631" s="123"/>
      <c r="G1631" s="127" t="s">
        <v>384</v>
      </c>
      <c r="H1631" s="128">
        <v>2012</v>
      </c>
      <c r="I1631" s="128" t="s">
        <v>396</v>
      </c>
      <c r="J1631" s="128">
        <f t="shared" si="50"/>
        <v>3</v>
      </c>
      <c r="K1631" s="128" t="s">
        <v>3000</v>
      </c>
      <c r="L1631" s="128" t="s">
        <v>30</v>
      </c>
      <c r="M1631" s="129" t="s">
        <v>174</v>
      </c>
      <c r="N1631" s="129" t="s">
        <v>28</v>
      </c>
      <c r="O1631" s="129" t="s">
        <v>28</v>
      </c>
      <c r="P1631" s="129" t="str">
        <f t="shared" si="51"/>
        <v>N/A</v>
      </c>
      <c r="Q1631" s="128" t="s">
        <v>3001</v>
      </c>
      <c r="R1631" s="128">
        <v>21.44</v>
      </c>
      <c r="S1631" s="130"/>
      <c r="T1631" s="130" t="s">
        <v>31</v>
      </c>
      <c r="U1631" s="131"/>
    </row>
    <row r="1632" spans="1:21" ht="15.75" hidden="1" thickBot="1">
      <c r="A1632" s="123">
        <v>1410</v>
      </c>
      <c r="B1632" s="123"/>
      <c r="C1632" s="123"/>
      <c r="D1632" s="123"/>
      <c r="E1632" s="123"/>
      <c r="F1632" s="123"/>
      <c r="G1632" s="127" t="s">
        <v>384</v>
      </c>
      <c r="H1632" s="128">
        <v>2012</v>
      </c>
      <c r="I1632" s="128" t="s">
        <v>396</v>
      </c>
      <c r="J1632" s="128">
        <f t="shared" si="50"/>
        <v>3</v>
      </c>
      <c r="K1632" s="128" t="s">
        <v>3002</v>
      </c>
      <c r="L1632" s="128" t="s">
        <v>30</v>
      </c>
      <c r="M1632" s="129" t="s">
        <v>31</v>
      </c>
      <c r="N1632" s="129" t="s">
        <v>28</v>
      </c>
      <c r="O1632" s="129" t="s">
        <v>28</v>
      </c>
      <c r="P1632" s="129" t="str">
        <f t="shared" si="51"/>
        <v>N/A</v>
      </c>
      <c r="Q1632" s="128" t="s">
        <v>3003</v>
      </c>
      <c r="R1632" s="128">
        <v>35.33</v>
      </c>
      <c r="S1632" s="130"/>
      <c r="T1632" s="130" t="s">
        <v>31</v>
      </c>
      <c r="U1632" s="131"/>
    </row>
    <row r="1633" spans="1:21" ht="15.75" hidden="1" thickBot="1">
      <c r="A1633" s="123">
        <v>1410</v>
      </c>
      <c r="B1633" s="123"/>
      <c r="C1633" s="123"/>
      <c r="D1633" s="123"/>
      <c r="E1633" s="123"/>
      <c r="F1633" s="123"/>
      <c r="G1633" s="127" t="s">
        <v>384</v>
      </c>
      <c r="H1633" s="128">
        <v>2012</v>
      </c>
      <c r="I1633" s="128" t="s">
        <v>396</v>
      </c>
      <c r="J1633" s="128">
        <f t="shared" si="50"/>
        <v>3</v>
      </c>
      <c r="K1633" s="128" t="s">
        <v>397</v>
      </c>
      <c r="L1633" s="128" t="s">
        <v>40</v>
      </c>
      <c r="M1633" s="129" t="s">
        <v>31</v>
      </c>
      <c r="N1633" s="129" t="s">
        <v>32</v>
      </c>
      <c r="O1633" s="129" t="s">
        <v>28</v>
      </c>
      <c r="P1633" s="129" t="str">
        <f t="shared" si="51"/>
        <v>N/A</v>
      </c>
      <c r="Q1633" s="128" t="s">
        <v>3001</v>
      </c>
      <c r="R1633" s="128">
        <v>43.23</v>
      </c>
      <c r="S1633" s="130"/>
      <c r="T1633" s="130" t="s">
        <v>31</v>
      </c>
      <c r="U1633" s="131"/>
    </row>
    <row r="1634" spans="1:21" ht="15.75" hidden="1" thickBot="1">
      <c r="A1634" s="123">
        <v>1411</v>
      </c>
      <c r="B1634" s="123"/>
      <c r="C1634" s="123"/>
      <c r="D1634" s="123"/>
      <c r="E1634" s="123"/>
      <c r="F1634" s="123"/>
      <c r="G1634" s="127" t="s">
        <v>384</v>
      </c>
      <c r="H1634" s="128">
        <v>2012</v>
      </c>
      <c r="I1634" s="128" t="s">
        <v>392</v>
      </c>
      <c r="J1634" s="128">
        <f t="shared" si="50"/>
        <v>2</v>
      </c>
      <c r="K1634" s="128" t="s">
        <v>3004</v>
      </c>
      <c r="L1634" s="128" t="s">
        <v>40</v>
      </c>
      <c r="M1634" s="129" t="s">
        <v>1065</v>
      </c>
      <c r="N1634" s="129" t="s">
        <v>28</v>
      </c>
      <c r="O1634" s="129" t="s">
        <v>28</v>
      </c>
      <c r="P1634" s="129" t="str">
        <f t="shared" si="51"/>
        <v>N/A</v>
      </c>
      <c r="Q1634" s="128" t="s">
        <v>3005</v>
      </c>
      <c r="R1634" s="128">
        <v>27.69</v>
      </c>
      <c r="S1634" s="130"/>
      <c r="T1634" s="130" t="s">
        <v>1015</v>
      </c>
      <c r="U1634" s="131"/>
    </row>
    <row r="1635" spans="1:21" ht="15.75" hidden="1" thickBot="1">
      <c r="A1635" s="123">
        <v>1411</v>
      </c>
      <c r="B1635" s="123"/>
      <c r="C1635" s="123"/>
      <c r="D1635" s="123"/>
      <c r="E1635" s="123"/>
      <c r="F1635" s="123"/>
      <c r="G1635" s="127" t="s">
        <v>384</v>
      </c>
      <c r="H1635" s="128">
        <v>2012</v>
      </c>
      <c r="I1635" s="128" t="s">
        <v>392</v>
      </c>
      <c r="J1635" s="128">
        <f t="shared" si="50"/>
        <v>2</v>
      </c>
      <c r="K1635" s="128" t="s">
        <v>393</v>
      </c>
      <c r="L1635" s="128" t="s">
        <v>30</v>
      </c>
      <c r="M1635" s="129" t="s">
        <v>31</v>
      </c>
      <c r="N1635" s="129" t="s">
        <v>32</v>
      </c>
      <c r="O1635" s="129" t="s">
        <v>28</v>
      </c>
      <c r="P1635" s="129" t="str">
        <f t="shared" si="51"/>
        <v>N/A</v>
      </c>
      <c r="Q1635" s="128" t="s">
        <v>3006</v>
      </c>
      <c r="R1635" s="128">
        <v>72.31</v>
      </c>
      <c r="S1635" s="130"/>
      <c r="T1635" s="130" t="s">
        <v>31</v>
      </c>
      <c r="U1635" s="131"/>
    </row>
    <row r="1636" spans="1:21" ht="15.75" hidden="1" thickBot="1">
      <c r="A1636" s="123">
        <v>1412</v>
      </c>
      <c r="B1636" s="123"/>
      <c r="C1636" s="123"/>
      <c r="D1636" s="123"/>
      <c r="E1636" s="123"/>
      <c r="F1636" s="123"/>
      <c r="G1636" s="127" t="s">
        <v>384</v>
      </c>
      <c r="H1636" s="128">
        <v>2012</v>
      </c>
      <c r="I1636" s="128" t="s">
        <v>390</v>
      </c>
      <c r="J1636" s="128">
        <f t="shared" si="50"/>
        <v>2</v>
      </c>
      <c r="K1636" s="128" t="s">
        <v>391</v>
      </c>
      <c r="L1636" s="128" t="s">
        <v>40</v>
      </c>
      <c r="M1636" s="129" t="s">
        <v>31</v>
      </c>
      <c r="N1636" s="129" t="s">
        <v>32</v>
      </c>
      <c r="O1636" s="129" t="s">
        <v>28</v>
      </c>
      <c r="P1636" s="129" t="str">
        <f t="shared" si="51"/>
        <v>N/A</v>
      </c>
      <c r="Q1636" s="128" t="s">
        <v>3007</v>
      </c>
      <c r="R1636" s="128">
        <v>61.7</v>
      </c>
      <c r="S1636" s="130"/>
      <c r="T1636" s="130" t="s">
        <v>31</v>
      </c>
      <c r="U1636" s="131"/>
    </row>
    <row r="1637" spans="1:21" ht="15.75" hidden="1" thickBot="1">
      <c r="A1637" s="123">
        <v>1412</v>
      </c>
      <c r="B1637" s="123"/>
      <c r="C1637" s="123"/>
      <c r="D1637" s="123"/>
      <c r="E1637" s="123"/>
      <c r="F1637" s="123"/>
      <c r="G1637" s="127" t="s">
        <v>384</v>
      </c>
      <c r="H1637" s="128">
        <v>2012</v>
      </c>
      <c r="I1637" s="128" t="s">
        <v>390</v>
      </c>
      <c r="J1637" s="128">
        <f t="shared" si="50"/>
        <v>2</v>
      </c>
      <c r="K1637" s="128" t="s">
        <v>2996</v>
      </c>
      <c r="L1637" s="128" t="s">
        <v>30</v>
      </c>
      <c r="M1637" s="129" t="s">
        <v>34</v>
      </c>
      <c r="N1637" s="129" t="s">
        <v>28</v>
      </c>
      <c r="O1637" s="129" t="s">
        <v>28</v>
      </c>
      <c r="P1637" s="129" t="str">
        <f t="shared" si="51"/>
        <v>N/A</v>
      </c>
      <c r="Q1637" s="130"/>
      <c r="R1637" s="128">
        <v>38.299999999999997</v>
      </c>
      <c r="S1637" s="130"/>
      <c r="T1637" s="130"/>
      <c r="U1637" s="131"/>
    </row>
    <row r="1638" spans="1:21" ht="15.75" hidden="1" thickBot="1">
      <c r="A1638" s="123">
        <v>1413</v>
      </c>
      <c r="B1638" s="123"/>
      <c r="C1638" s="123"/>
      <c r="D1638" s="123"/>
      <c r="E1638" s="123"/>
      <c r="F1638" s="123"/>
      <c r="G1638" s="127" t="s">
        <v>384</v>
      </c>
      <c r="H1638" s="128">
        <v>2012</v>
      </c>
      <c r="I1638" s="128" t="s">
        <v>394</v>
      </c>
      <c r="J1638" s="128">
        <f t="shared" si="50"/>
        <v>1</v>
      </c>
      <c r="K1638" s="128" t="s">
        <v>3008</v>
      </c>
      <c r="L1638" s="128" t="s">
        <v>40</v>
      </c>
      <c r="M1638" s="129" t="s">
        <v>31</v>
      </c>
      <c r="N1638" s="129" t="s">
        <v>32</v>
      </c>
      <c r="O1638" s="129" t="s">
        <v>32</v>
      </c>
      <c r="P1638" s="129" t="str">
        <f t="shared" si="51"/>
        <v>Y</v>
      </c>
      <c r="Q1638" s="128" t="s">
        <v>3009</v>
      </c>
      <c r="R1638" s="128">
        <v>100</v>
      </c>
      <c r="S1638" s="130"/>
      <c r="T1638" s="130" t="s">
        <v>31</v>
      </c>
      <c r="U1638" s="131"/>
    </row>
    <row r="1639" spans="1:21" ht="15.75" hidden="1" thickBot="1">
      <c r="A1639" s="123">
        <v>1407</v>
      </c>
      <c r="B1639" s="123"/>
      <c r="C1639" s="123"/>
      <c r="D1639" s="123"/>
      <c r="E1639" s="123"/>
      <c r="F1639" s="123"/>
      <c r="G1639" s="127" t="s">
        <v>384</v>
      </c>
      <c r="H1639" s="128">
        <v>2014</v>
      </c>
      <c r="I1639" s="128" t="s">
        <v>387</v>
      </c>
      <c r="J1639" s="128">
        <f t="shared" si="50"/>
        <v>3</v>
      </c>
      <c r="K1639" s="128" t="s">
        <v>388</v>
      </c>
      <c r="L1639" s="128" t="s">
        <v>30</v>
      </c>
      <c r="M1639" s="129" t="s">
        <v>31</v>
      </c>
      <c r="N1639" s="129" t="s">
        <v>32</v>
      </c>
      <c r="O1639" s="129" t="s">
        <v>32</v>
      </c>
      <c r="P1639" s="129" t="str">
        <f t="shared" si="51"/>
        <v>Y</v>
      </c>
      <c r="Q1639" s="128" t="s">
        <v>3010</v>
      </c>
      <c r="R1639" s="128">
        <v>39.369999999999997</v>
      </c>
      <c r="S1639" s="130"/>
      <c r="T1639" s="130" t="s">
        <v>31</v>
      </c>
      <c r="U1639" s="131"/>
    </row>
    <row r="1640" spans="1:21" ht="15.75" hidden="1" thickBot="1">
      <c r="A1640" s="123">
        <v>1407</v>
      </c>
      <c r="B1640" s="123"/>
      <c r="C1640" s="123"/>
      <c r="D1640" s="123"/>
      <c r="E1640" s="123"/>
      <c r="F1640" s="123"/>
      <c r="G1640" s="127" t="s">
        <v>384</v>
      </c>
      <c r="H1640" s="128">
        <v>2014</v>
      </c>
      <c r="I1640" s="128" t="s">
        <v>387</v>
      </c>
      <c r="J1640" s="128">
        <f t="shared" si="50"/>
        <v>3</v>
      </c>
      <c r="K1640" s="128" t="s">
        <v>3011</v>
      </c>
      <c r="L1640" s="128" t="s">
        <v>30</v>
      </c>
      <c r="M1640" s="129" t="s">
        <v>34</v>
      </c>
      <c r="N1640" s="129" t="s">
        <v>28</v>
      </c>
      <c r="O1640" s="129" t="s">
        <v>28</v>
      </c>
      <c r="P1640" s="129" t="str">
        <f t="shared" si="51"/>
        <v>N/A</v>
      </c>
      <c r="Q1640" s="128" t="s">
        <v>3012</v>
      </c>
      <c r="R1640" s="128">
        <v>35.33</v>
      </c>
      <c r="S1640" s="130"/>
      <c r="T1640" s="130" t="s">
        <v>998</v>
      </c>
      <c r="U1640" s="131"/>
    </row>
    <row r="1641" spans="1:21" ht="15.75" hidden="1" thickBot="1">
      <c r="A1641" s="123">
        <v>1407</v>
      </c>
      <c r="B1641" s="123"/>
      <c r="C1641" s="123"/>
      <c r="D1641" s="123"/>
      <c r="E1641" s="123"/>
      <c r="F1641" s="123"/>
      <c r="G1641" s="127" t="s">
        <v>384</v>
      </c>
      <c r="H1641" s="128">
        <v>2014</v>
      </c>
      <c r="I1641" s="128" t="s">
        <v>387</v>
      </c>
      <c r="J1641" s="128">
        <f t="shared" si="50"/>
        <v>3</v>
      </c>
      <c r="K1641" s="128" t="s">
        <v>3013</v>
      </c>
      <c r="L1641" s="128" t="s">
        <v>40</v>
      </c>
      <c r="M1641" s="129" t="s">
        <v>31</v>
      </c>
      <c r="N1641" s="129" t="s">
        <v>28</v>
      </c>
      <c r="O1641" s="129" t="s">
        <v>28</v>
      </c>
      <c r="P1641" s="129" t="str">
        <f t="shared" si="51"/>
        <v>N/A</v>
      </c>
      <c r="Q1641" s="128" t="s">
        <v>3014</v>
      </c>
      <c r="R1641" s="128">
        <v>25.41</v>
      </c>
      <c r="S1641" s="130"/>
      <c r="T1641" s="130" t="s">
        <v>31</v>
      </c>
      <c r="U1641" s="131"/>
    </row>
    <row r="1642" spans="1:21" ht="15.75" hidden="1" thickBot="1">
      <c r="A1642" s="123">
        <v>1408</v>
      </c>
      <c r="B1642" s="123"/>
      <c r="C1642" s="123"/>
      <c r="D1642" s="123"/>
      <c r="E1642" s="123"/>
      <c r="F1642" s="123"/>
      <c r="G1642" s="127" t="s">
        <v>384</v>
      </c>
      <c r="H1642" s="128">
        <v>2014</v>
      </c>
      <c r="I1642" s="128" t="s">
        <v>385</v>
      </c>
      <c r="J1642" s="128">
        <f t="shared" si="50"/>
        <v>3</v>
      </c>
      <c r="K1642" s="128" t="s">
        <v>2969</v>
      </c>
      <c r="L1642" s="128" t="s">
        <v>40</v>
      </c>
      <c r="M1642" s="129" t="s">
        <v>31</v>
      </c>
      <c r="N1642" s="129" t="s">
        <v>28</v>
      </c>
      <c r="O1642" s="129" t="s">
        <v>28</v>
      </c>
      <c r="P1642" s="129" t="str">
        <f t="shared" si="51"/>
        <v>N/A</v>
      </c>
      <c r="Q1642" s="128" t="s">
        <v>3015</v>
      </c>
      <c r="R1642" s="128">
        <v>32.79</v>
      </c>
      <c r="S1642" s="130"/>
      <c r="T1642" s="130" t="s">
        <v>31</v>
      </c>
      <c r="U1642" s="131"/>
    </row>
    <row r="1643" spans="1:21" ht="26.25" hidden="1" thickBot="1">
      <c r="A1643" s="123">
        <v>1408</v>
      </c>
      <c r="B1643" s="123"/>
      <c r="C1643" s="123"/>
      <c r="D1643" s="123"/>
      <c r="E1643" s="123"/>
      <c r="F1643" s="123"/>
      <c r="G1643" s="127" t="s">
        <v>384</v>
      </c>
      <c r="H1643" s="128">
        <v>2014</v>
      </c>
      <c r="I1643" s="128" t="s">
        <v>385</v>
      </c>
      <c r="J1643" s="128">
        <f t="shared" si="50"/>
        <v>3</v>
      </c>
      <c r="K1643" s="128" t="s">
        <v>2996</v>
      </c>
      <c r="L1643" s="128" t="s">
        <v>30</v>
      </c>
      <c r="M1643" s="129" t="s">
        <v>34</v>
      </c>
      <c r="N1643" s="129" t="s">
        <v>28</v>
      </c>
      <c r="O1643" s="129" t="s">
        <v>28</v>
      </c>
      <c r="P1643" s="129" t="str">
        <f t="shared" si="51"/>
        <v>N/A</v>
      </c>
      <c r="Q1643" s="128" t="s">
        <v>3016</v>
      </c>
      <c r="R1643" s="128">
        <v>28.5</v>
      </c>
      <c r="S1643" s="130"/>
      <c r="T1643" s="130" t="s">
        <v>1051</v>
      </c>
      <c r="U1643" s="131"/>
    </row>
    <row r="1644" spans="1:21" ht="15.75" hidden="1" thickBot="1">
      <c r="A1644" s="123">
        <v>1408</v>
      </c>
      <c r="B1644" s="123"/>
      <c r="C1644" s="123"/>
      <c r="D1644" s="123"/>
      <c r="E1644" s="123"/>
      <c r="F1644" s="123"/>
      <c r="G1644" s="127" t="s">
        <v>384</v>
      </c>
      <c r="H1644" s="128">
        <v>2014</v>
      </c>
      <c r="I1644" s="128" t="s">
        <v>385</v>
      </c>
      <c r="J1644" s="128">
        <f t="shared" si="50"/>
        <v>3</v>
      </c>
      <c r="K1644" s="128" t="s">
        <v>386</v>
      </c>
      <c r="L1644" s="128" t="s">
        <v>30</v>
      </c>
      <c r="M1644" s="129" t="s">
        <v>31</v>
      </c>
      <c r="N1644" s="129" t="s">
        <v>32</v>
      </c>
      <c r="O1644" s="129" t="s">
        <v>32</v>
      </c>
      <c r="P1644" s="129" t="str">
        <f t="shared" si="51"/>
        <v>Y</v>
      </c>
      <c r="Q1644" s="128" t="s">
        <v>3017</v>
      </c>
      <c r="R1644" s="128">
        <v>38.72</v>
      </c>
      <c r="S1644" s="130"/>
      <c r="T1644" s="130" t="s">
        <v>31</v>
      </c>
      <c r="U1644" s="131"/>
    </row>
    <row r="1645" spans="1:21" ht="15.75" hidden="1" thickBot="1">
      <c r="A1645" s="123">
        <v>1409</v>
      </c>
      <c r="B1645" s="123"/>
      <c r="C1645" s="123"/>
      <c r="D1645" s="123"/>
      <c r="E1645" s="123"/>
      <c r="F1645" s="123"/>
      <c r="G1645" s="127" t="s">
        <v>384</v>
      </c>
      <c r="H1645" s="128">
        <v>2014</v>
      </c>
      <c r="I1645" s="128" t="s">
        <v>38</v>
      </c>
      <c r="J1645" s="128">
        <f t="shared" si="50"/>
        <v>2</v>
      </c>
      <c r="K1645" s="128" t="s">
        <v>3018</v>
      </c>
      <c r="L1645" s="128" t="s">
        <v>40</v>
      </c>
      <c r="M1645" s="129" t="s">
        <v>31</v>
      </c>
      <c r="N1645" s="129" t="s">
        <v>28</v>
      </c>
      <c r="O1645" s="129" t="s">
        <v>28</v>
      </c>
      <c r="P1645" s="129" t="str">
        <f t="shared" si="51"/>
        <v>N/A</v>
      </c>
      <c r="Q1645" s="138" t="s">
        <v>3019</v>
      </c>
      <c r="R1645" s="128">
        <v>30.36</v>
      </c>
      <c r="S1645" s="130"/>
      <c r="T1645" s="130" t="s">
        <v>31</v>
      </c>
      <c r="U1645" s="131"/>
    </row>
    <row r="1646" spans="1:21" ht="15.75" hidden="1" thickBot="1">
      <c r="A1646" s="123">
        <v>1409</v>
      </c>
      <c r="B1646" s="123"/>
      <c r="C1646" s="123"/>
      <c r="D1646" s="123"/>
      <c r="E1646" s="123"/>
      <c r="F1646" s="123"/>
      <c r="G1646" s="127" t="s">
        <v>384</v>
      </c>
      <c r="H1646" s="128">
        <v>2014</v>
      </c>
      <c r="I1646" s="128" t="s">
        <v>38</v>
      </c>
      <c r="J1646" s="128">
        <f t="shared" si="50"/>
        <v>2</v>
      </c>
      <c r="K1646" s="128" t="s">
        <v>2965</v>
      </c>
      <c r="L1646" s="128" t="s">
        <v>30</v>
      </c>
      <c r="M1646" s="129" t="s">
        <v>31</v>
      </c>
      <c r="N1646" s="129" t="s">
        <v>32</v>
      </c>
      <c r="O1646" s="129" t="s">
        <v>32</v>
      </c>
      <c r="P1646" s="129" t="str">
        <f t="shared" si="51"/>
        <v>Y</v>
      </c>
      <c r="Q1646" s="128" t="s">
        <v>3020</v>
      </c>
      <c r="R1646" s="128">
        <v>69.64</v>
      </c>
      <c r="S1646" s="130"/>
      <c r="T1646" s="130" t="s">
        <v>31</v>
      </c>
      <c r="U1646" s="131"/>
    </row>
    <row r="1647" spans="1:21" ht="15.75" thickBot="1">
      <c r="A1647" s="123">
        <v>1459</v>
      </c>
      <c r="B1647" s="123"/>
      <c r="C1647" s="123"/>
      <c r="D1647" s="123"/>
      <c r="E1647" s="123"/>
      <c r="F1647" s="123"/>
      <c r="G1647" s="127" t="s">
        <v>406</v>
      </c>
      <c r="H1647" s="128">
        <v>2000</v>
      </c>
      <c r="I1647" s="128" t="s">
        <v>38</v>
      </c>
      <c r="J1647" s="128">
        <f t="shared" si="50"/>
        <v>1</v>
      </c>
      <c r="K1647" s="128" t="s">
        <v>429</v>
      </c>
      <c r="L1647" s="128" t="s">
        <v>30</v>
      </c>
      <c r="M1647" s="129" t="s">
        <v>31</v>
      </c>
      <c r="N1647" s="129" t="s">
        <v>32</v>
      </c>
      <c r="O1647" s="129"/>
      <c r="P1647" s="129" t="str">
        <f t="shared" si="51"/>
        <v/>
      </c>
      <c r="Q1647" s="128" t="s">
        <v>3021</v>
      </c>
      <c r="R1647" s="128">
        <v>100</v>
      </c>
      <c r="S1647" s="130"/>
      <c r="T1647" s="130" t="s">
        <v>31</v>
      </c>
      <c r="U1647" s="131"/>
    </row>
    <row r="1648" spans="1:21" ht="15.75" thickBot="1">
      <c r="A1648" s="123">
        <v>1460</v>
      </c>
      <c r="B1648" s="123"/>
      <c r="C1648" s="123"/>
      <c r="D1648" s="123"/>
      <c r="E1648" s="123"/>
      <c r="F1648" s="123"/>
      <c r="G1648" s="127" t="s">
        <v>406</v>
      </c>
      <c r="H1648" s="128">
        <v>2000</v>
      </c>
      <c r="I1648" s="128" t="s">
        <v>91</v>
      </c>
      <c r="J1648" s="128">
        <f t="shared" si="50"/>
        <v>2</v>
      </c>
      <c r="K1648" s="128" t="s">
        <v>3022</v>
      </c>
      <c r="L1648" s="128" t="s">
        <v>30</v>
      </c>
      <c r="M1648" s="129" t="s">
        <v>31</v>
      </c>
      <c r="N1648" s="129" t="s">
        <v>28</v>
      </c>
      <c r="O1648" s="129"/>
      <c r="P1648" s="129" t="str">
        <f t="shared" si="51"/>
        <v/>
      </c>
      <c r="Q1648" s="128" t="s">
        <v>3023</v>
      </c>
      <c r="R1648" s="128">
        <v>39.5</v>
      </c>
      <c r="S1648" s="128">
        <v>34</v>
      </c>
      <c r="T1648" s="130" t="s">
        <v>31</v>
      </c>
      <c r="U1648" s="131"/>
    </row>
    <row r="1649" spans="1:21" ht="15.75" thickBot="1">
      <c r="A1649" s="123">
        <v>1460</v>
      </c>
      <c r="B1649" s="123"/>
      <c r="C1649" s="123"/>
      <c r="D1649" s="123"/>
      <c r="E1649" s="123"/>
      <c r="F1649" s="123"/>
      <c r="G1649" s="127" t="s">
        <v>406</v>
      </c>
      <c r="H1649" s="128">
        <v>2000</v>
      </c>
      <c r="I1649" s="128" t="s">
        <v>91</v>
      </c>
      <c r="J1649" s="128">
        <f t="shared" si="50"/>
        <v>2</v>
      </c>
      <c r="K1649" s="128" t="s">
        <v>430</v>
      </c>
      <c r="L1649" s="128" t="s">
        <v>30</v>
      </c>
      <c r="M1649" s="129" t="s">
        <v>174</v>
      </c>
      <c r="N1649" s="129" t="s">
        <v>32</v>
      </c>
      <c r="O1649" s="129"/>
      <c r="P1649" s="129" t="str">
        <f t="shared" si="51"/>
        <v/>
      </c>
      <c r="Q1649" s="128" t="s">
        <v>3024</v>
      </c>
      <c r="R1649" s="128">
        <v>60.5</v>
      </c>
      <c r="S1649" s="128">
        <v>66</v>
      </c>
      <c r="T1649" s="130" t="s">
        <v>1069</v>
      </c>
      <c r="U1649" s="131"/>
    </row>
    <row r="1650" spans="1:21" ht="15.75" thickBot="1">
      <c r="A1650" s="123">
        <v>1461</v>
      </c>
      <c r="B1650" s="123"/>
      <c r="C1650" s="123"/>
      <c r="D1650" s="123"/>
      <c r="E1650" s="123"/>
      <c r="F1650" s="123"/>
      <c r="G1650" s="127" t="s">
        <v>406</v>
      </c>
      <c r="H1650" s="128">
        <v>2000</v>
      </c>
      <c r="I1650" s="128" t="s">
        <v>79</v>
      </c>
      <c r="J1650" s="128">
        <f t="shared" si="50"/>
        <v>2</v>
      </c>
      <c r="K1650" s="128" t="s">
        <v>431</v>
      </c>
      <c r="L1650" s="128" t="s">
        <v>30</v>
      </c>
      <c r="M1650" s="129" t="s">
        <v>31</v>
      </c>
      <c r="N1650" s="129" t="s">
        <v>32</v>
      </c>
      <c r="O1650" s="129"/>
      <c r="P1650" s="129" t="str">
        <f t="shared" si="51"/>
        <v/>
      </c>
      <c r="Q1650" s="128" t="s">
        <v>3025</v>
      </c>
      <c r="R1650" s="128">
        <v>78.7</v>
      </c>
      <c r="S1650" s="128">
        <v>73.599999999999994</v>
      </c>
      <c r="T1650" s="130" t="s">
        <v>31</v>
      </c>
      <c r="U1650" s="131"/>
    </row>
    <row r="1651" spans="1:21" ht="15.75" thickBot="1">
      <c r="A1651" s="123">
        <v>1461</v>
      </c>
      <c r="B1651" s="123"/>
      <c r="C1651" s="123"/>
      <c r="D1651" s="123"/>
      <c r="E1651" s="123"/>
      <c r="F1651" s="123"/>
      <c r="G1651" s="127" t="s">
        <v>406</v>
      </c>
      <c r="H1651" s="128">
        <v>2000</v>
      </c>
      <c r="I1651" s="128" t="s">
        <v>79</v>
      </c>
      <c r="J1651" s="128">
        <f t="shared" si="50"/>
        <v>2</v>
      </c>
      <c r="K1651" s="128" t="s">
        <v>3026</v>
      </c>
      <c r="L1651" s="128" t="s">
        <v>30</v>
      </c>
      <c r="M1651" s="129" t="s">
        <v>1003</v>
      </c>
      <c r="N1651" s="129" t="s">
        <v>28</v>
      </c>
      <c r="O1651" s="129"/>
      <c r="P1651" s="129" t="str">
        <f t="shared" si="51"/>
        <v/>
      </c>
      <c r="Q1651" s="130"/>
      <c r="R1651" s="128">
        <v>21.3</v>
      </c>
      <c r="S1651" s="128">
        <v>26.4</v>
      </c>
      <c r="T1651" s="130"/>
      <c r="U1651" s="131"/>
    </row>
    <row r="1652" spans="1:21" ht="15.75" thickBot="1">
      <c r="A1652" s="123">
        <v>1462</v>
      </c>
      <c r="B1652" s="123"/>
      <c r="C1652" s="123"/>
      <c r="D1652" s="123"/>
      <c r="E1652" s="123"/>
      <c r="F1652" s="123"/>
      <c r="G1652" s="127" t="s">
        <v>406</v>
      </c>
      <c r="H1652" s="128">
        <v>2000</v>
      </c>
      <c r="I1652" s="128" t="s">
        <v>100</v>
      </c>
      <c r="J1652" s="128">
        <f t="shared" si="50"/>
        <v>3</v>
      </c>
      <c r="K1652" s="128" t="s">
        <v>432</v>
      </c>
      <c r="L1652" s="128" t="s">
        <v>40</v>
      </c>
      <c r="M1652" s="129" t="s">
        <v>34</v>
      </c>
      <c r="N1652" s="129" t="s">
        <v>32</v>
      </c>
      <c r="O1652" s="129"/>
      <c r="P1652" s="129" t="str">
        <f t="shared" si="51"/>
        <v/>
      </c>
      <c r="Q1652" s="138" t="s">
        <v>3027</v>
      </c>
      <c r="R1652" s="128">
        <v>64.400000000000006</v>
      </c>
      <c r="S1652" s="128">
        <v>84.2</v>
      </c>
      <c r="T1652" s="130" t="s">
        <v>1015</v>
      </c>
      <c r="U1652" s="131"/>
    </row>
    <row r="1653" spans="1:21" ht="15.75" thickBot="1">
      <c r="A1653" s="123">
        <v>1462</v>
      </c>
      <c r="B1653" s="123"/>
      <c r="C1653" s="123"/>
      <c r="D1653" s="123"/>
      <c r="E1653" s="123"/>
      <c r="F1653" s="123"/>
      <c r="G1653" s="127" t="s">
        <v>406</v>
      </c>
      <c r="H1653" s="128">
        <v>2000</v>
      </c>
      <c r="I1653" s="128" t="s">
        <v>100</v>
      </c>
      <c r="J1653" s="128">
        <f t="shared" si="50"/>
        <v>3</v>
      </c>
      <c r="K1653" s="128" t="s">
        <v>3028</v>
      </c>
      <c r="L1653" s="128" t="s">
        <v>30</v>
      </c>
      <c r="M1653" s="129" t="s">
        <v>31</v>
      </c>
      <c r="N1653" s="129" t="s">
        <v>28</v>
      </c>
      <c r="O1653" s="129"/>
      <c r="P1653" s="129" t="str">
        <f t="shared" si="51"/>
        <v/>
      </c>
      <c r="Q1653" s="128" t="s">
        <v>1004</v>
      </c>
      <c r="R1653" s="128">
        <v>16.100000000000001</v>
      </c>
      <c r="S1653" s="130"/>
      <c r="T1653" s="130" t="s">
        <v>31</v>
      </c>
      <c r="U1653" s="131"/>
    </row>
    <row r="1654" spans="1:21" ht="15.75" thickBot="1">
      <c r="A1654" s="123">
        <v>1462</v>
      </c>
      <c r="B1654" s="123"/>
      <c r="C1654" s="123"/>
      <c r="D1654" s="123"/>
      <c r="E1654" s="123"/>
      <c r="F1654" s="123"/>
      <c r="G1654" s="127" t="s">
        <v>406</v>
      </c>
      <c r="H1654" s="128">
        <v>2000</v>
      </c>
      <c r="I1654" s="128" t="s">
        <v>100</v>
      </c>
      <c r="J1654" s="128">
        <f t="shared" si="50"/>
        <v>3</v>
      </c>
      <c r="K1654" s="128" t="s">
        <v>3029</v>
      </c>
      <c r="L1654" s="128" t="s">
        <v>30</v>
      </c>
      <c r="M1654" s="129" t="s">
        <v>201</v>
      </c>
      <c r="N1654" s="129" t="s">
        <v>28</v>
      </c>
      <c r="O1654" s="129"/>
      <c r="P1654" s="129" t="str">
        <f t="shared" si="51"/>
        <v/>
      </c>
      <c r="Q1654" s="130"/>
      <c r="R1654" s="128">
        <v>19.5</v>
      </c>
      <c r="S1654" s="128">
        <v>15.8</v>
      </c>
      <c r="T1654" s="130"/>
      <c r="U1654" s="131"/>
    </row>
    <row r="1655" spans="1:21" ht="15.75" thickBot="1">
      <c r="A1655" s="123">
        <v>1456</v>
      </c>
      <c r="B1655" s="123"/>
      <c r="C1655" s="123"/>
      <c r="D1655" s="123"/>
      <c r="E1655" s="123"/>
      <c r="F1655" s="123"/>
      <c r="G1655" s="127" t="s">
        <v>406</v>
      </c>
      <c r="H1655" s="128">
        <v>2002</v>
      </c>
      <c r="I1655" s="128" t="s">
        <v>76</v>
      </c>
      <c r="J1655" s="128">
        <f t="shared" si="50"/>
        <v>3</v>
      </c>
      <c r="K1655" s="128" t="s">
        <v>3030</v>
      </c>
      <c r="L1655" s="128" t="s">
        <v>30</v>
      </c>
      <c r="M1655" s="129" t="s">
        <v>31</v>
      </c>
      <c r="N1655" s="129" t="s">
        <v>28</v>
      </c>
      <c r="O1655" s="129"/>
      <c r="P1655" s="129" t="str">
        <f t="shared" si="51"/>
        <v/>
      </c>
      <c r="Q1655" s="130"/>
      <c r="R1655" s="128">
        <v>21.9</v>
      </c>
      <c r="S1655" s="128">
        <v>39.5</v>
      </c>
      <c r="T1655" s="130"/>
      <c r="U1655" s="131"/>
    </row>
    <row r="1656" spans="1:21" ht="15.75" thickBot="1">
      <c r="A1656" s="123">
        <v>1456</v>
      </c>
      <c r="B1656" s="123"/>
      <c r="C1656" s="123"/>
      <c r="D1656" s="123"/>
      <c r="E1656" s="123"/>
      <c r="F1656" s="123"/>
      <c r="G1656" s="127" t="s">
        <v>406</v>
      </c>
      <c r="H1656" s="128">
        <v>2002</v>
      </c>
      <c r="I1656" s="128" t="s">
        <v>76</v>
      </c>
      <c r="J1656" s="128">
        <f t="shared" si="50"/>
        <v>3</v>
      </c>
      <c r="K1656" s="128" t="s">
        <v>3031</v>
      </c>
      <c r="L1656" s="128" t="s">
        <v>30</v>
      </c>
      <c r="M1656" s="129" t="s">
        <v>31</v>
      </c>
      <c r="N1656" s="129" t="s">
        <v>28</v>
      </c>
      <c r="O1656" s="129"/>
      <c r="P1656" s="129" t="str">
        <f t="shared" si="51"/>
        <v/>
      </c>
      <c r="Q1656" s="128" t="s">
        <v>3032</v>
      </c>
      <c r="R1656" s="128">
        <v>19</v>
      </c>
      <c r="S1656" s="130"/>
      <c r="T1656" s="130" t="s">
        <v>31</v>
      </c>
      <c r="U1656" s="131"/>
    </row>
    <row r="1657" spans="1:21" ht="15.75" thickBot="1">
      <c r="A1657" s="123">
        <v>1456</v>
      </c>
      <c r="B1657" s="123"/>
      <c r="C1657" s="123"/>
      <c r="D1657" s="123"/>
      <c r="E1657" s="123"/>
      <c r="F1657" s="123"/>
      <c r="G1657" s="127" t="s">
        <v>406</v>
      </c>
      <c r="H1657" s="128">
        <v>2002</v>
      </c>
      <c r="I1657" s="128" t="s">
        <v>76</v>
      </c>
      <c r="J1657" s="128">
        <f t="shared" si="50"/>
        <v>3</v>
      </c>
      <c r="K1657" s="128" t="s">
        <v>422</v>
      </c>
      <c r="L1657" s="128" t="s">
        <v>30</v>
      </c>
      <c r="M1657" s="129" t="s">
        <v>31</v>
      </c>
      <c r="N1657" s="129" t="s">
        <v>32</v>
      </c>
      <c r="O1657" s="129"/>
      <c r="P1657" s="129" t="str">
        <f t="shared" si="51"/>
        <v/>
      </c>
      <c r="Q1657" s="130"/>
      <c r="R1657" s="128">
        <v>58.8</v>
      </c>
      <c r="S1657" s="128">
        <v>60.2</v>
      </c>
      <c r="T1657" s="130"/>
      <c r="U1657" s="131"/>
    </row>
    <row r="1658" spans="1:21" ht="15.75" thickBot="1">
      <c r="A1658" s="123">
        <v>1457</v>
      </c>
      <c r="B1658" s="123"/>
      <c r="C1658" s="123"/>
      <c r="D1658" s="123"/>
      <c r="E1658" s="123"/>
      <c r="F1658" s="123"/>
      <c r="G1658" s="127" t="s">
        <v>406</v>
      </c>
      <c r="H1658" s="128">
        <v>2002</v>
      </c>
      <c r="I1658" s="128" t="s">
        <v>94</v>
      </c>
      <c r="J1658" s="128">
        <f t="shared" si="50"/>
        <v>3</v>
      </c>
      <c r="K1658" s="128" t="s">
        <v>3033</v>
      </c>
      <c r="L1658" s="128" t="s">
        <v>30</v>
      </c>
      <c r="M1658" s="129" t="s">
        <v>1003</v>
      </c>
      <c r="N1658" s="129" t="s">
        <v>28</v>
      </c>
      <c r="O1658" s="129"/>
      <c r="P1658" s="129" t="str">
        <f t="shared" si="51"/>
        <v/>
      </c>
      <c r="Q1658" s="128" t="s">
        <v>1004</v>
      </c>
      <c r="R1658" s="128">
        <v>19.600000000000001</v>
      </c>
      <c r="S1658" s="128">
        <v>33.9</v>
      </c>
      <c r="T1658" s="130"/>
      <c r="U1658" s="131"/>
    </row>
    <row r="1659" spans="1:21" ht="15.75" thickBot="1">
      <c r="A1659" s="123">
        <v>1457</v>
      </c>
      <c r="B1659" s="123"/>
      <c r="C1659" s="123"/>
      <c r="D1659" s="123"/>
      <c r="E1659" s="123"/>
      <c r="F1659" s="123"/>
      <c r="G1659" s="127" t="s">
        <v>406</v>
      </c>
      <c r="H1659" s="128">
        <v>2002</v>
      </c>
      <c r="I1659" s="128" t="s">
        <v>94</v>
      </c>
      <c r="J1659" s="128">
        <f t="shared" si="50"/>
        <v>3</v>
      </c>
      <c r="K1659" s="128" t="s">
        <v>423</v>
      </c>
      <c r="L1659" s="128" t="s">
        <v>40</v>
      </c>
      <c r="M1659" s="129" t="s">
        <v>201</v>
      </c>
      <c r="N1659" s="129" t="s">
        <v>32</v>
      </c>
      <c r="O1659" s="129"/>
      <c r="P1659" s="129" t="str">
        <f t="shared" si="51"/>
        <v/>
      </c>
      <c r="Q1659" s="130"/>
      <c r="R1659" s="128">
        <v>63.6</v>
      </c>
      <c r="S1659" s="128">
        <v>65.599999999999994</v>
      </c>
      <c r="T1659" s="130"/>
      <c r="U1659" s="131"/>
    </row>
    <row r="1660" spans="1:21" ht="15.75" thickBot="1">
      <c r="A1660" s="123">
        <v>1457</v>
      </c>
      <c r="B1660" s="123"/>
      <c r="C1660" s="123"/>
      <c r="D1660" s="123"/>
      <c r="E1660" s="123"/>
      <c r="F1660" s="123"/>
      <c r="G1660" s="127" t="s">
        <v>406</v>
      </c>
      <c r="H1660" s="128">
        <v>2002</v>
      </c>
      <c r="I1660" s="128" t="s">
        <v>94</v>
      </c>
      <c r="J1660" s="128">
        <f t="shared" si="50"/>
        <v>3</v>
      </c>
      <c r="K1660" s="128" t="s">
        <v>3026</v>
      </c>
      <c r="L1660" s="128" t="s">
        <v>30</v>
      </c>
      <c r="M1660" s="129" t="s">
        <v>1003</v>
      </c>
      <c r="N1660" s="129" t="s">
        <v>28</v>
      </c>
      <c r="O1660" s="129"/>
      <c r="P1660" s="129" t="str">
        <f t="shared" si="51"/>
        <v/>
      </c>
      <c r="Q1660" s="144" t="s">
        <v>1004</v>
      </c>
      <c r="R1660" s="128">
        <v>16.5</v>
      </c>
      <c r="S1660" s="130"/>
      <c r="T1660" s="130"/>
      <c r="U1660" s="131"/>
    </row>
    <row r="1661" spans="1:21" ht="15.75" thickBot="1">
      <c r="A1661" s="123">
        <v>1458</v>
      </c>
      <c r="B1661" s="123"/>
      <c r="C1661" s="123"/>
      <c r="D1661" s="123"/>
      <c r="E1661" s="123"/>
      <c r="F1661" s="123"/>
      <c r="G1661" s="127" t="s">
        <v>406</v>
      </c>
      <c r="H1661" s="128">
        <v>2002</v>
      </c>
      <c r="I1661" s="128" t="s">
        <v>97</v>
      </c>
      <c r="J1661" s="128">
        <f t="shared" si="50"/>
        <v>3</v>
      </c>
      <c r="K1661" s="128" t="s">
        <v>3034</v>
      </c>
      <c r="L1661" s="128" t="s">
        <v>30</v>
      </c>
      <c r="M1661" s="129" t="s">
        <v>31</v>
      </c>
      <c r="N1661" s="129" t="s">
        <v>28</v>
      </c>
      <c r="O1661" s="129"/>
      <c r="P1661" s="129" t="str">
        <f t="shared" si="51"/>
        <v/>
      </c>
      <c r="Q1661" s="128" t="s">
        <v>3035</v>
      </c>
      <c r="R1661" s="128">
        <v>13.6</v>
      </c>
      <c r="S1661" s="130"/>
      <c r="T1661" s="130" t="s">
        <v>31</v>
      </c>
      <c r="U1661" s="131"/>
    </row>
    <row r="1662" spans="1:21" ht="15.75" thickBot="1">
      <c r="A1662" s="123">
        <v>1458</v>
      </c>
      <c r="B1662" s="123"/>
      <c r="C1662" s="123"/>
      <c r="D1662" s="123"/>
      <c r="E1662" s="123"/>
      <c r="F1662" s="123"/>
      <c r="G1662" s="127" t="s">
        <v>406</v>
      </c>
      <c r="H1662" s="128">
        <v>2002</v>
      </c>
      <c r="I1662" s="128" t="s">
        <v>97</v>
      </c>
      <c r="J1662" s="128">
        <f t="shared" si="50"/>
        <v>3</v>
      </c>
      <c r="K1662" s="128" t="s">
        <v>3036</v>
      </c>
      <c r="L1662" s="128" t="s">
        <v>40</v>
      </c>
      <c r="M1662" s="129" t="s">
        <v>201</v>
      </c>
      <c r="N1662" s="129" t="s">
        <v>28</v>
      </c>
      <c r="O1662" s="129"/>
      <c r="P1662" s="129" t="str">
        <f t="shared" si="51"/>
        <v/>
      </c>
      <c r="Q1662" s="128" t="s">
        <v>3037</v>
      </c>
      <c r="R1662" s="128">
        <v>27.1</v>
      </c>
      <c r="S1662" s="128">
        <v>33.9</v>
      </c>
      <c r="T1662" s="130"/>
      <c r="U1662" s="131"/>
    </row>
    <row r="1663" spans="1:21" ht="15.75" thickBot="1">
      <c r="A1663" s="123">
        <v>1458</v>
      </c>
      <c r="B1663" s="123"/>
      <c r="C1663" s="123"/>
      <c r="D1663" s="123"/>
      <c r="E1663" s="123"/>
      <c r="F1663" s="123"/>
      <c r="G1663" s="127" t="s">
        <v>406</v>
      </c>
      <c r="H1663" s="128">
        <v>2002</v>
      </c>
      <c r="I1663" s="128" t="s">
        <v>97</v>
      </c>
      <c r="J1663" s="128">
        <f t="shared" si="50"/>
        <v>3</v>
      </c>
      <c r="K1663" s="128" t="s">
        <v>428</v>
      </c>
      <c r="L1663" s="128" t="s">
        <v>30</v>
      </c>
      <c r="M1663" s="129" t="s">
        <v>31</v>
      </c>
      <c r="N1663" s="129" t="s">
        <v>32</v>
      </c>
      <c r="O1663" s="129"/>
      <c r="P1663" s="129" t="str">
        <f t="shared" si="51"/>
        <v/>
      </c>
      <c r="Q1663" s="128" t="s">
        <v>3038</v>
      </c>
      <c r="R1663" s="128">
        <v>58.6</v>
      </c>
      <c r="S1663" s="128">
        <v>65.8</v>
      </c>
      <c r="T1663" s="130" t="s">
        <v>31</v>
      </c>
      <c r="U1663" s="131"/>
    </row>
    <row r="1664" spans="1:21" ht="15.75" hidden="1" thickBot="1">
      <c r="A1664" s="123">
        <v>1452</v>
      </c>
      <c r="B1664" s="123"/>
      <c r="C1664" s="123"/>
      <c r="D1664" s="123"/>
      <c r="E1664" s="123"/>
      <c r="F1664" s="123"/>
      <c r="G1664" s="127" t="s">
        <v>406</v>
      </c>
      <c r="H1664" s="128">
        <v>2004</v>
      </c>
      <c r="I1664" s="128" t="s">
        <v>38</v>
      </c>
      <c r="J1664" s="128">
        <f t="shared" si="50"/>
        <v>4</v>
      </c>
      <c r="K1664" s="128" t="s">
        <v>419</v>
      </c>
      <c r="L1664" s="128" t="s">
        <v>40</v>
      </c>
      <c r="M1664" s="129" t="s">
        <v>31</v>
      </c>
      <c r="N1664" s="129" t="s">
        <v>28</v>
      </c>
      <c r="O1664" s="129" t="s">
        <v>28</v>
      </c>
      <c r="P1664" s="129" t="str">
        <f t="shared" si="51"/>
        <v>N/A</v>
      </c>
      <c r="Q1664" s="128" t="s">
        <v>3039</v>
      </c>
      <c r="R1664" s="128">
        <v>39.04</v>
      </c>
      <c r="S1664" s="130"/>
      <c r="T1664" s="130" t="s">
        <v>31</v>
      </c>
      <c r="U1664" s="146"/>
    </row>
    <row r="1665" spans="1:21" ht="15.75" thickBot="1">
      <c r="A1665" s="123">
        <v>1452</v>
      </c>
      <c r="B1665" s="123"/>
      <c r="C1665" s="123"/>
      <c r="D1665" s="123"/>
      <c r="E1665" s="123"/>
      <c r="F1665" s="123"/>
      <c r="G1665" s="127" t="s">
        <v>406</v>
      </c>
      <c r="H1665" s="128">
        <v>2004</v>
      </c>
      <c r="I1665" s="128" t="s">
        <v>38</v>
      </c>
      <c r="J1665" s="128">
        <f t="shared" si="50"/>
        <v>4</v>
      </c>
      <c r="K1665" s="128" t="s">
        <v>424</v>
      </c>
      <c r="L1665" s="128" t="s">
        <v>30</v>
      </c>
      <c r="M1665" s="129" t="s">
        <v>1065</v>
      </c>
      <c r="N1665" s="129" t="s">
        <v>32</v>
      </c>
      <c r="O1665" s="129"/>
      <c r="P1665" s="129" t="str">
        <f t="shared" si="51"/>
        <v/>
      </c>
      <c r="Q1665" s="138" t="s">
        <v>3040</v>
      </c>
      <c r="R1665" s="128">
        <v>52.07</v>
      </c>
      <c r="S1665" s="130"/>
      <c r="T1665" s="130" t="s">
        <v>998</v>
      </c>
      <c r="U1665" s="146"/>
    </row>
    <row r="1666" spans="1:21" ht="15.75" thickBot="1">
      <c r="A1666" s="123">
        <v>1452</v>
      </c>
      <c r="B1666" s="123"/>
      <c r="C1666" s="123"/>
      <c r="D1666" s="123"/>
      <c r="E1666" s="123"/>
      <c r="F1666" s="123"/>
      <c r="G1666" s="127" t="s">
        <v>406</v>
      </c>
      <c r="H1666" s="128">
        <v>2004</v>
      </c>
      <c r="I1666" s="128" t="s">
        <v>38</v>
      </c>
      <c r="J1666" s="128">
        <f t="shared" ref="J1666:J1730" si="52">COUNTIF(A$2:A$2215, A1666)</f>
        <v>4</v>
      </c>
      <c r="K1666" s="128" t="s">
        <v>3030</v>
      </c>
      <c r="L1666" s="128" t="s">
        <v>30</v>
      </c>
      <c r="M1666" s="129" t="s">
        <v>31</v>
      </c>
      <c r="N1666" s="129" t="s">
        <v>28</v>
      </c>
      <c r="O1666" s="129"/>
      <c r="P1666" s="129" t="str">
        <f t="shared" si="51"/>
        <v/>
      </c>
      <c r="Q1666" s="128" t="s">
        <v>3041</v>
      </c>
      <c r="R1666" s="128">
        <v>2.72</v>
      </c>
      <c r="S1666" s="130"/>
      <c r="T1666" s="130" t="s">
        <v>31</v>
      </c>
      <c r="U1666" s="146"/>
    </row>
    <row r="1667" spans="1:21" ht="15.75" thickBot="1">
      <c r="A1667" s="123">
        <v>1452</v>
      </c>
      <c r="B1667" s="123"/>
      <c r="C1667" s="123"/>
      <c r="D1667" s="123"/>
      <c r="E1667" s="123"/>
      <c r="F1667" s="123"/>
      <c r="G1667" s="127" t="s">
        <v>406</v>
      </c>
      <c r="H1667" s="128">
        <v>2004</v>
      </c>
      <c r="I1667" s="128" t="s">
        <v>38</v>
      </c>
      <c r="J1667" s="128">
        <f t="shared" si="52"/>
        <v>4</v>
      </c>
      <c r="K1667" s="128" t="s">
        <v>3029</v>
      </c>
      <c r="L1667" s="128" t="s">
        <v>30</v>
      </c>
      <c r="M1667" s="129" t="s">
        <v>201</v>
      </c>
      <c r="N1667" s="129" t="s">
        <v>28</v>
      </c>
      <c r="O1667" s="129"/>
      <c r="P1667" s="129" t="str">
        <f t="shared" ref="P1667:P1730" si="53">IF(O1667="N", "N/A", IF(AND(N1667="N",  O1667="Y"), "N", IF(AND(O1667="Y", N1667="Y"), "Y", "")))</f>
        <v/>
      </c>
      <c r="Q1667" s="130"/>
      <c r="R1667" s="128">
        <v>5.97</v>
      </c>
      <c r="S1667" s="130"/>
      <c r="T1667" s="130"/>
      <c r="U1667" s="131"/>
    </row>
    <row r="1668" spans="1:21" ht="15.75" thickBot="1">
      <c r="A1668" s="123">
        <v>1453</v>
      </c>
      <c r="B1668" s="123"/>
      <c r="C1668" s="123"/>
      <c r="D1668" s="123"/>
      <c r="E1668" s="123"/>
      <c r="F1668" s="123"/>
      <c r="G1668" s="127" t="s">
        <v>406</v>
      </c>
      <c r="H1668" s="128">
        <v>2004</v>
      </c>
      <c r="I1668" s="128" t="s">
        <v>91</v>
      </c>
      <c r="J1668" s="128">
        <f t="shared" si="52"/>
        <v>3</v>
      </c>
      <c r="K1668" s="128" t="s">
        <v>3042</v>
      </c>
      <c r="L1668" s="128" t="s">
        <v>30</v>
      </c>
      <c r="M1668" s="129" t="s">
        <v>1003</v>
      </c>
      <c r="N1668" s="129" t="s">
        <v>28</v>
      </c>
      <c r="O1668" s="129"/>
      <c r="P1668" s="129" t="str">
        <f t="shared" si="53"/>
        <v/>
      </c>
      <c r="Q1668" s="128" t="s">
        <v>1004</v>
      </c>
      <c r="R1668" s="128">
        <v>35.299999999999997</v>
      </c>
      <c r="S1668" s="128">
        <v>38.9</v>
      </c>
      <c r="T1668" s="130"/>
      <c r="U1668" s="131"/>
    </row>
    <row r="1669" spans="1:21" ht="15.75" thickBot="1">
      <c r="A1669" s="123">
        <v>1453</v>
      </c>
      <c r="B1669" s="123"/>
      <c r="C1669" s="123"/>
      <c r="D1669" s="123"/>
      <c r="E1669" s="123"/>
      <c r="F1669" s="123"/>
      <c r="G1669" s="127" t="s">
        <v>406</v>
      </c>
      <c r="H1669" s="128">
        <v>2004</v>
      </c>
      <c r="I1669" s="128" t="s">
        <v>91</v>
      </c>
      <c r="J1669" s="128">
        <f t="shared" si="52"/>
        <v>3</v>
      </c>
      <c r="K1669" s="128" t="s">
        <v>425</v>
      </c>
      <c r="L1669" s="128" t="s">
        <v>30</v>
      </c>
      <c r="M1669" s="129" t="s">
        <v>31</v>
      </c>
      <c r="N1669" s="129" t="s">
        <v>32</v>
      </c>
      <c r="O1669" s="129"/>
      <c r="P1669" s="129" t="str">
        <f t="shared" si="53"/>
        <v/>
      </c>
      <c r="Q1669" s="128" t="s">
        <v>3043</v>
      </c>
      <c r="R1669" s="128">
        <v>45.44</v>
      </c>
      <c r="S1669" s="128">
        <v>60.63</v>
      </c>
      <c r="T1669" s="130" t="s">
        <v>31</v>
      </c>
      <c r="U1669" s="131"/>
    </row>
    <row r="1670" spans="1:21" ht="15.75" thickBot="1">
      <c r="A1670" s="123">
        <v>1453</v>
      </c>
      <c r="B1670" s="123"/>
      <c r="C1670" s="123"/>
      <c r="D1670" s="123"/>
      <c r="E1670" s="123"/>
      <c r="F1670" s="123"/>
      <c r="G1670" s="127" t="s">
        <v>406</v>
      </c>
      <c r="H1670" s="128">
        <v>2004</v>
      </c>
      <c r="I1670" s="128" t="s">
        <v>91</v>
      </c>
      <c r="J1670" s="128">
        <f t="shared" si="52"/>
        <v>3</v>
      </c>
      <c r="K1670" s="128" t="s">
        <v>3044</v>
      </c>
      <c r="L1670" s="128" t="s">
        <v>30</v>
      </c>
      <c r="M1670" s="129" t="s">
        <v>1003</v>
      </c>
      <c r="N1670" s="129" t="s">
        <v>28</v>
      </c>
      <c r="O1670" s="129"/>
      <c r="P1670" s="129" t="str">
        <f t="shared" si="53"/>
        <v/>
      </c>
      <c r="Q1670" s="128" t="s">
        <v>1004</v>
      </c>
      <c r="R1670" s="128">
        <v>18.77</v>
      </c>
      <c r="S1670" s="130"/>
      <c r="T1670" s="130"/>
      <c r="U1670" s="131"/>
    </row>
    <row r="1671" spans="1:21" ht="15.75" thickBot="1">
      <c r="A1671" s="123">
        <v>1454</v>
      </c>
      <c r="B1671" s="123"/>
      <c r="C1671" s="123"/>
      <c r="D1671" s="123"/>
      <c r="E1671" s="123"/>
      <c r="F1671" s="123"/>
      <c r="G1671" s="127" t="s">
        <v>406</v>
      </c>
      <c r="H1671" s="128">
        <v>2004</v>
      </c>
      <c r="I1671" s="128" t="s">
        <v>79</v>
      </c>
      <c r="J1671" s="128">
        <f t="shared" si="52"/>
        <v>3</v>
      </c>
      <c r="K1671" s="128" t="s">
        <v>426</v>
      </c>
      <c r="L1671" s="128" t="s">
        <v>30</v>
      </c>
      <c r="M1671" s="129" t="s">
        <v>31</v>
      </c>
      <c r="N1671" s="129" t="s">
        <v>32</v>
      </c>
      <c r="O1671" s="129"/>
      <c r="P1671" s="129" t="str">
        <f t="shared" si="53"/>
        <v/>
      </c>
      <c r="Q1671" s="130"/>
      <c r="R1671" s="128">
        <v>51.7</v>
      </c>
      <c r="S1671" s="128">
        <v>55.1</v>
      </c>
      <c r="T1671" s="130"/>
      <c r="U1671" s="131"/>
    </row>
    <row r="1672" spans="1:21" ht="15.75" thickBot="1">
      <c r="A1672" s="123">
        <v>1454</v>
      </c>
      <c r="B1672" s="123"/>
      <c r="C1672" s="123"/>
      <c r="D1672" s="123"/>
      <c r="E1672" s="123"/>
      <c r="F1672" s="123"/>
      <c r="G1672" s="127" t="s">
        <v>406</v>
      </c>
      <c r="H1672" s="128">
        <v>2004</v>
      </c>
      <c r="I1672" s="128" t="s">
        <v>79</v>
      </c>
      <c r="J1672" s="128">
        <f t="shared" si="52"/>
        <v>3</v>
      </c>
      <c r="K1672" s="128" t="s">
        <v>420</v>
      </c>
      <c r="L1672" s="128" t="s">
        <v>40</v>
      </c>
      <c r="M1672" s="129" t="s">
        <v>31</v>
      </c>
      <c r="N1672" s="129" t="s">
        <v>28</v>
      </c>
      <c r="O1672" s="129"/>
      <c r="P1672" s="129" t="str">
        <f t="shared" si="53"/>
        <v/>
      </c>
      <c r="Q1672" s="130"/>
      <c r="R1672" s="128">
        <v>34.729999999999997</v>
      </c>
      <c r="S1672" s="128">
        <v>44.6</v>
      </c>
      <c r="T1672" s="130"/>
      <c r="U1672" s="131"/>
    </row>
    <row r="1673" spans="1:21" ht="15.75" thickBot="1">
      <c r="A1673" s="123">
        <v>1454</v>
      </c>
      <c r="B1673" s="123"/>
      <c r="C1673" s="123"/>
      <c r="D1673" s="123"/>
      <c r="E1673" s="123"/>
      <c r="F1673" s="123"/>
      <c r="G1673" s="127" t="s">
        <v>406</v>
      </c>
      <c r="H1673" s="128">
        <v>2004</v>
      </c>
      <c r="I1673" s="128" t="s">
        <v>79</v>
      </c>
      <c r="J1673" s="128">
        <f t="shared" si="52"/>
        <v>3</v>
      </c>
      <c r="K1673" s="128" t="s">
        <v>3045</v>
      </c>
      <c r="L1673" s="128" t="s">
        <v>40</v>
      </c>
      <c r="M1673" s="129" t="s">
        <v>1003</v>
      </c>
      <c r="N1673" s="129" t="s">
        <v>28</v>
      </c>
      <c r="O1673" s="129"/>
      <c r="P1673" s="129" t="str">
        <f t="shared" si="53"/>
        <v/>
      </c>
      <c r="Q1673" s="128" t="s">
        <v>1004</v>
      </c>
      <c r="R1673" s="128">
        <v>13.25</v>
      </c>
      <c r="S1673" s="130"/>
      <c r="T1673" s="130"/>
      <c r="U1673" s="131"/>
    </row>
    <row r="1674" spans="1:21" ht="15.75" thickBot="1">
      <c r="A1674" s="123">
        <v>1455</v>
      </c>
      <c r="B1674" s="123"/>
      <c r="C1674" s="123"/>
      <c r="D1674" s="123"/>
      <c r="E1674" s="123"/>
      <c r="F1674" s="123"/>
      <c r="G1674" s="127" t="s">
        <v>406</v>
      </c>
      <c r="H1674" s="128">
        <v>2004</v>
      </c>
      <c r="I1674" s="128" t="s">
        <v>100</v>
      </c>
      <c r="J1674" s="128">
        <f t="shared" si="52"/>
        <v>7</v>
      </c>
      <c r="K1674" s="128" t="s">
        <v>3046</v>
      </c>
      <c r="L1674" s="128" t="s">
        <v>30</v>
      </c>
      <c r="M1674" s="129" t="s">
        <v>1003</v>
      </c>
      <c r="N1674" s="129" t="s">
        <v>28</v>
      </c>
      <c r="O1674" s="129"/>
      <c r="P1674" s="129" t="str">
        <f t="shared" si="53"/>
        <v/>
      </c>
      <c r="Q1674" s="128" t="s">
        <v>1004</v>
      </c>
      <c r="R1674" s="128">
        <v>22.24</v>
      </c>
      <c r="S1674" s="128">
        <v>48.58</v>
      </c>
      <c r="T1674" s="130"/>
      <c r="U1674" s="131"/>
    </row>
    <row r="1675" spans="1:21" ht="15.75" thickBot="1">
      <c r="A1675" s="123">
        <v>1455</v>
      </c>
      <c r="B1675" s="123"/>
      <c r="C1675" s="123"/>
      <c r="D1675" s="123"/>
      <c r="E1675" s="123"/>
      <c r="F1675" s="123"/>
      <c r="G1675" s="127" t="s">
        <v>406</v>
      </c>
      <c r="H1675" s="128">
        <v>2004</v>
      </c>
      <c r="I1675" s="128" t="s">
        <v>100</v>
      </c>
      <c r="J1675" s="128">
        <f t="shared" si="52"/>
        <v>7</v>
      </c>
      <c r="K1675" s="128" t="s">
        <v>3047</v>
      </c>
      <c r="L1675" s="128" t="s">
        <v>30</v>
      </c>
      <c r="M1675" s="129" t="s">
        <v>201</v>
      </c>
      <c r="N1675" s="129" t="s">
        <v>28</v>
      </c>
      <c r="O1675" s="129"/>
      <c r="P1675" s="129" t="str">
        <f t="shared" si="53"/>
        <v/>
      </c>
      <c r="Q1675" s="128" t="s">
        <v>3048</v>
      </c>
      <c r="R1675" s="128">
        <v>20.36</v>
      </c>
      <c r="S1675" s="130"/>
      <c r="T1675" s="130" t="s">
        <v>2940</v>
      </c>
      <c r="U1675" s="131"/>
    </row>
    <row r="1676" spans="1:21" ht="15.75" thickBot="1">
      <c r="A1676" s="123">
        <v>1455</v>
      </c>
      <c r="B1676" s="123"/>
      <c r="C1676" s="123"/>
      <c r="D1676" s="123"/>
      <c r="E1676" s="123"/>
      <c r="F1676" s="123"/>
      <c r="G1676" s="127" t="s">
        <v>406</v>
      </c>
      <c r="H1676" s="128">
        <v>2004</v>
      </c>
      <c r="I1676" s="128" t="s">
        <v>100</v>
      </c>
      <c r="J1676" s="128">
        <f t="shared" si="52"/>
        <v>7</v>
      </c>
      <c r="K1676" s="128" t="s">
        <v>3049</v>
      </c>
      <c r="L1676" s="128" t="s">
        <v>30</v>
      </c>
      <c r="M1676" s="129" t="s">
        <v>31</v>
      </c>
      <c r="N1676" s="129" t="s">
        <v>28</v>
      </c>
      <c r="O1676" s="129"/>
      <c r="P1676" s="129" t="str">
        <f t="shared" si="53"/>
        <v/>
      </c>
      <c r="Q1676" s="128" t="s">
        <v>3050</v>
      </c>
      <c r="R1676" s="128">
        <v>3.54</v>
      </c>
      <c r="S1676" s="130"/>
      <c r="T1676" s="130" t="s">
        <v>31</v>
      </c>
      <c r="U1676" s="131"/>
    </row>
    <row r="1677" spans="1:21" ht="15.75" thickBot="1">
      <c r="A1677" s="123">
        <v>1455</v>
      </c>
      <c r="B1677" s="123"/>
      <c r="C1677" s="123"/>
      <c r="D1677" s="123"/>
      <c r="E1677" s="123"/>
      <c r="F1677" s="123"/>
      <c r="G1677" s="127" t="s">
        <v>406</v>
      </c>
      <c r="H1677" s="128">
        <v>2004</v>
      </c>
      <c r="I1677" s="128" t="s">
        <v>100</v>
      </c>
      <c r="J1677" s="128">
        <f t="shared" si="52"/>
        <v>7</v>
      </c>
      <c r="K1677" s="128" t="s">
        <v>3051</v>
      </c>
      <c r="L1677" s="128" t="s">
        <v>30</v>
      </c>
      <c r="M1677" s="129" t="s">
        <v>34</v>
      </c>
      <c r="N1677" s="129" t="s">
        <v>28</v>
      </c>
      <c r="O1677" s="129"/>
      <c r="P1677" s="129" t="str">
        <f t="shared" si="53"/>
        <v/>
      </c>
      <c r="Q1677" s="128" t="s">
        <v>3052</v>
      </c>
      <c r="R1677" s="128">
        <v>17.25</v>
      </c>
      <c r="S1677" s="130"/>
      <c r="T1677" s="130" t="s">
        <v>1069</v>
      </c>
      <c r="U1677" s="131"/>
    </row>
    <row r="1678" spans="1:21" ht="15.75" thickBot="1">
      <c r="A1678" s="123">
        <v>1455</v>
      </c>
      <c r="B1678" s="123"/>
      <c r="C1678" s="123"/>
      <c r="D1678" s="123"/>
      <c r="E1678" s="123"/>
      <c r="F1678" s="123"/>
      <c r="G1678" s="127" t="s">
        <v>406</v>
      </c>
      <c r="H1678" s="128">
        <v>2004</v>
      </c>
      <c r="I1678" s="128" t="s">
        <v>100</v>
      </c>
      <c r="J1678" s="128">
        <f t="shared" si="52"/>
        <v>7</v>
      </c>
      <c r="K1678" s="128" t="s">
        <v>3053</v>
      </c>
      <c r="L1678" s="128" t="s">
        <v>30</v>
      </c>
      <c r="M1678" s="129" t="s">
        <v>31</v>
      </c>
      <c r="N1678" s="129" t="s">
        <v>28</v>
      </c>
      <c r="O1678" s="129"/>
      <c r="P1678" s="129" t="str">
        <f t="shared" si="53"/>
        <v/>
      </c>
      <c r="Q1678" s="130"/>
      <c r="R1678" s="128">
        <v>11.37</v>
      </c>
      <c r="S1678" s="130"/>
      <c r="T1678" s="130"/>
      <c r="U1678" s="131"/>
    </row>
    <row r="1679" spans="1:21" ht="15.75" thickBot="1">
      <c r="A1679" s="123">
        <v>1455</v>
      </c>
      <c r="B1679" s="123"/>
      <c r="C1679" s="123"/>
      <c r="D1679" s="123"/>
      <c r="E1679" s="123"/>
      <c r="F1679" s="123"/>
      <c r="G1679" s="127" t="s">
        <v>406</v>
      </c>
      <c r="H1679" s="128">
        <v>2004</v>
      </c>
      <c r="I1679" s="128" t="s">
        <v>100</v>
      </c>
      <c r="J1679" s="128">
        <f t="shared" si="52"/>
        <v>7</v>
      </c>
      <c r="K1679" s="128" t="s">
        <v>427</v>
      </c>
      <c r="L1679" s="128" t="s">
        <v>40</v>
      </c>
      <c r="M1679" s="129" t="s">
        <v>1003</v>
      </c>
      <c r="N1679" s="129" t="s">
        <v>32</v>
      </c>
      <c r="O1679" s="129"/>
      <c r="P1679" s="129" t="str">
        <f t="shared" si="53"/>
        <v/>
      </c>
      <c r="Q1679" s="128" t="s">
        <v>1004</v>
      </c>
      <c r="R1679" s="128">
        <v>24.64</v>
      </c>
      <c r="S1679" s="128">
        <v>51.17</v>
      </c>
      <c r="T1679" s="130"/>
      <c r="U1679" s="131"/>
    </row>
    <row r="1680" spans="1:21" ht="15.75" thickBot="1">
      <c r="A1680" s="123">
        <v>1455</v>
      </c>
      <c r="B1680" s="123"/>
      <c r="C1680" s="123"/>
      <c r="D1680" s="123"/>
      <c r="E1680" s="123"/>
      <c r="F1680" s="123"/>
      <c r="G1680" s="127" t="s">
        <v>406</v>
      </c>
      <c r="H1680" s="128">
        <v>2004</v>
      </c>
      <c r="I1680" s="128" t="s">
        <v>100</v>
      </c>
      <c r="J1680" s="128">
        <f t="shared" si="52"/>
        <v>7</v>
      </c>
      <c r="K1680" s="128" t="s">
        <v>3054</v>
      </c>
      <c r="L1680" s="128" t="s">
        <v>30</v>
      </c>
      <c r="M1680" s="129" t="s">
        <v>1065</v>
      </c>
      <c r="N1680" s="129" t="s">
        <v>28</v>
      </c>
      <c r="O1680" s="129"/>
      <c r="P1680" s="129" t="str">
        <f t="shared" si="53"/>
        <v/>
      </c>
      <c r="Q1680" s="128" t="s">
        <v>3055</v>
      </c>
      <c r="R1680" s="128">
        <v>0</v>
      </c>
      <c r="S1680" s="130"/>
      <c r="T1680" s="130" t="s">
        <v>3056</v>
      </c>
      <c r="U1680" s="131"/>
    </row>
    <row r="1681" spans="1:21" ht="15.75" hidden="1" thickBot="1">
      <c r="A1681" s="123">
        <v>1449</v>
      </c>
      <c r="B1681" s="123"/>
      <c r="C1681" s="123"/>
      <c r="D1681" s="123"/>
      <c r="E1681" s="123"/>
      <c r="F1681" s="123"/>
      <c r="G1681" s="127" t="s">
        <v>406</v>
      </c>
      <c r="H1681" s="128">
        <v>2006</v>
      </c>
      <c r="I1681" s="128" t="s">
        <v>76</v>
      </c>
      <c r="J1681" s="128">
        <f t="shared" si="52"/>
        <v>2</v>
      </c>
      <c r="K1681" s="128" t="s">
        <v>3057</v>
      </c>
      <c r="L1681" s="128" t="s">
        <v>30</v>
      </c>
      <c r="M1681" s="129" t="s">
        <v>1003</v>
      </c>
      <c r="N1681" s="129" t="s">
        <v>28</v>
      </c>
      <c r="O1681" s="129" t="s">
        <v>28</v>
      </c>
      <c r="P1681" s="129" t="str">
        <f t="shared" si="53"/>
        <v>N/A</v>
      </c>
      <c r="Q1681" s="144" t="s">
        <v>1004</v>
      </c>
      <c r="R1681" s="128">
        <v>23.43</v>
      </c>
      <c r="S1681" s="128">
        <v>29.81</v>
      </c>
      <c r="T1681" s="130"/>
      <c r="U1681" s="131"/>
    </row>
    <row r="1682" spans="1:21" ht="15.75" hidden="1" thickBot="1">
      <c r="A1682" s="123">
        <v>1449</v>
      </c>
      <c r="B1682" s="123"/>
      <c r="C1682" s="123"/>
      <c r="D1682" s="123"/>
      <c r="E1682" s="123"/>
      <c r="F1682" s="123"/>
      <c r="G1682" s="127" t="s">
        <v>406</v>
      </c>
      <c r="H1682" s="128">
        <v>2006</v>
      </c>
      <c r="I1682" s="128" t="s">
        <v>76</v>
      </c>
      <c r="J1682" s="128">
        <f t="shared" si="52"/>
        <v>2</v>
      </c>
      <c r="K1682" s="128" t="s">
        <v>422</v>
      </c>
      <c r="L1682" s="128" t="s">
        <v>30</v>
      </c>
      <c r="M1682" s="129" t="s">
        <v>31</v>
      </c>
      <c r="N1682" s="129" t="s">
        <v>32</v>
      </c>
      <c r="O1682" s="129" t="s">
        <v>32</v>
      </c>
      <c r="P1682" s="129" t="str">
        <f t="shared" si="53"/>
        <v>Y</v>
      </c>
      <c r="Q1682" s="128" t="s">
        <v>3058</v>
      </c>
      <c r="R1682" s="128">
        <v>76.27</v>
      </c>
      <c r="S1682" s="128">
        <v>69.959999999999994</v>
      </c>
      <c r="T1682" s="130" t="s">
        <v>31</v>
      </c>
      <c r="U1682" s="131" t="s">
        <v>3059</v>
      </c>
    </row>
    <row r="1683" spans="1:21" ht="15.75" hidden="1" thickBot="1">
      <c r="A1683" s="123">
        <v>1450</v>
      </c>
      <c r="B1683" s="123"/>
      <c r="C1683" s="123"/>
      <c r="D1683" s="123"/>
      <c r="E1683" s="123"/>
      <c r="F1683" s="123"/>
      <c r="G1683" s="127" t="s">
        <v>406</v>
      </c>
      <c r="H1683" s="128">
        <v>2006</v>
      </c>
      <c r="I1683" s="128" t="s">
        <v>94</v>
      </c>
      <c r="J1683" s="128">
        <f t="shared" si="52"/>
        <v>2</v>
      </c>
      <c r="K1683" s="128" t="s">
        <v>3060</v>
      </c>
      <c r="L1683" s="128" t="s">
        <v>40</v>
      </c>
      <c r="M1683" s="129" t="s">
        <v>31</v>
      </c>
      <c r="N1683" s="129" t="s">
        <v>28</v>
      </c>
      <c r="O1683" s="129" t="s">
        <v>28</v>
      </c>
      <c r="P1683" s="129" t="str">
        <f t="shared" si="53"/>
        <v>N/A</v>
      </c>
      <c r="Q1683" s="128" t="s">
        <v>3061</v>
      </c>
      <c r="R1683" s="128">
        <v>43.28</v>
      </c>
      <c r="S1683" s="128">
        <v>40.97</v>
      </c>
      <c r="T1683" s="130" t="s">
        <v>31</v>
      </c>
      <c r="U1683" s="131" t="s">
        <v>3062</v>
      </c>
    </row>
    <row r="1684" spans="1:21" ht="15.75" hidden="1" thickBot="1">
      <c r="A1684" s="123">
        <v>1450</v>
      </c>
      <c r="B1684" s="123"/>
      <c r="C1684" s="123"/>
      <c r="D1684" s="123"/>
      <c r="E1684" s="123"/>
      <c r="F1684" s="123"/>
      <c r="G1684" s="127" t="s">
        <v>406</v>
      </c>
      <c r="H1684" s="128">
        <v>2006</v>
      </c>
      <c r="I1684" s="128" t="s">
        <v>94</v>
      </c>
      <c r="J1684" s="128">
        <f t="shared" si="52"/>
        <v>2</v>
      </c>
      <c r="K1684" s="128" t="s">
        <v>423</v>
      </c>
      <c r="L1684" s="128" t="s">
        <v>40</v>
      </c>
      <c r="M1684" s="129" t="s">
        <v>201</v>
      </c>
      <c r="N1684" s="129" t="s">
        <v>32</v>
      </c>
      <c r="O1684" s="129" t="s">
        <v>32</v>
      </c>
      <c r="P1684" s="129" t="str">
        <f t="shared" si="53"/>
        <v>Y</v>
      </c>
      <c r="Q1684" s="138" t="s">
        <v>3063</v>
      </c>
      <c r="R1684" s="128">
        <v>56.52</v>
      </c>
      <c r="S1684" s="128">
        <v>58.84</v>
      </c>
      <c r="T1684" s="130" t="s">
        <v>998</v>
      </c>
      <c r="U1684" s="131"/>
    </row>
    <row r="1685" spans="1:21" ht="15.75" hidden="1" thickBot="1">
      <c r="A1685" s="123">
        <v>1451</v>
      </c>
      <c r="B1685" s="123"/>
      <c r="C1685" s="123"/>
      <c r="D1685" s="123"/>
      <c r="E1685" s="123"/>
      <c r="F1685" s="123"/>
      <c r="G1685" s="127" t="s">
        <v>406</v>
      </c>
      <c r="H1685" s="128">
        <v>2006</v>
      </c>
      <c r="I1685" s="128" t="s">
        <v>97</v>
      </c>
      <c r="J1685" s="128">
        <f t="shared" si="52"/>
        <v>4</v>
      </c>
      <c r="K1685" s="128" t="s">
        <v>3064</v>
      </c>
      <c r="L1685" s="128" t="s">
        <v>40</v>
      </c>
      <c r="M1685" s="129" t="s">
        <v>201</v>
      </c>
      <c r="N1685" s="129" t="s">
        <v>28</v>
      </c>
      <c r="O1685" s="129" t="s">
        <v>28</v>
      </c>
      <c r="P1685" s="129" t="str">
        <f t="shared" si="53"/>
        <v>N/A</v>
      </c>
      <c r="Q1685" s="128" t="s">
        <v>3065</v>
      </c>
      <c r="R1685" s="128">
        <v>34.46</v>
      </c>
      <c r="S1685" s="128">
        <v>46.09</v>
      </c>
      <c r="T1685" s="130" t="s">
        <v>998</v>
      </c>
      <c r="U1685" s="131"/>
    </row>
    <row r="1686" spans="1:21" ht="15.75" hidden="1" thickBot="1">
      <c r="A1686" s="123">
        <v>1451</v>
      </c>
      <c r="B1686" s="123"/>
      <c r="C1686" s="123"/>
      <c r="D1686" s="123"/>
      <c r="E1686" s="123"/>
      <c r="F1686" s="123"/>
      <c r="G1686" s="127" t="s">
        <v>406</v>
      </c>
      <c r="H1686" s="128">
        <v>2006</v>
      </c>
      <c r="I1686" s="128" t="s">
        <v>97</v>
      </c>
      <c r="J1686" s="128">
        <f t="shared" si="52"/>
        <v>4</v>
      </c>
      <c r="K1686" s="128" t="s">
        <v>3036</v>
      </c>
      <c r="L1686" s="128" t="s">
        <v>40</v>
      </c>
      <c r="M1686" s="129" t="s">
        <v>201</v>
      </c>
      <c r="N1686" s="129" t="s">
        <v>28</v>
      </c>
      <c r="O1686" s="129" t="s">
        <v>28</v>
      </c>
      <c r="P1686" s="129" t="str">
        <f t="shared" si="53"/>
        <v>N/A</v>
      </c>
      <c r="Q1686" s="128" t="s">
        <v>3037</v>
      </c>
      <c r="R1686" s="128">
        <v>6.67</v>
      </c>
      <c r="S1686" s="130"/>
      <c r="T1686" s="130" t="s">
        <v>1015</v>
      </c>
      <c r="U1686" s="131"/>
    </row>
    <row r="1687" spans="1:21" ht="15.75" hidden="1" thickBot="1">
      <c r="A1687" s="123">
        <v>1451</v>
      </c>
      <c r="B1687" s="123"/>
      <c r="C1687" s="123"/>
      <c r="D1687" s="123"/>
      <c r="E1687" s="123"/>
      <c r="F1687" s="123"/>
      <c r="G1687" s="127" t="s">
        <v>406</v>
      </c>
      <c r="H1687" s="128">
        <v>2006</v>
      </c>
      <c r="I1687" s="128" t="s">
        <v>97</v>
      </c>
      <c r="J1687" s="128">
        <f t="shared" si="52"/>
        <v>4</v>
      </c>
      <c r="K1687" s="128" t="s">
        <v>3066</v>
      </c>
      <c r="L1687" s="128" t="s">
        <v>30</v>
      </c>
      <c r="M1687" s="129" t="s">
        <v>1065</v>
      </c>
      <c r="N1687" s="129" t="s">
        <v>28</v>
      </c>
      <c r="O1687" s="129" t="s">
        <v>28</v>
      </c>
      <c r="P1687" s="129" t="str">
        <f t="shared" si="53"/>
        <v>N/A</v>
      </c>
      <c r="Q1687" s="128" t="s">
        <v>3067</v>
      </c>
      <c r="R1687" s="128">
        <v>16.239999999999998</v>
      </c>
      <c r="S1687" s="130"/>
      <c r="T1687" s="130" t="s">
        <v>1069</v>
      </c>
      <c r="U1687" s="131"/>
    </row>
    <row r="1688" spans="1:21" ht="15.75" hidden="1" thickBot="1">
      <c r="A1688" s="123">
        <v>1451</v>
      </c>
      <c r="B1688" s="123"/>
      <c r="C1688" s="123"/>
      <c r="D1688" s="123"/>
      <c r="E1688" s="123"/>
      <c r="F1688" s="123"/>
      <c r="G1688" s="127" t="s">
        <v>406</v>
      </c>
      <c r="H1688" s="128">
        <v>2006</v>
      </c>
      <c r="I1688" s="128" t="s">
        <v>97</v>
      </c>
      <c r="J1688" s="128">
        <f t="shared" si="52"/>
        <v>4</v>
      </c>
      <c r="K1688" s="128" t="s">
        <v>418</v>
      </c>
      <c r="L1688" s="128" t="s">
        <v>40</v>
      </c>
      <c r="M1688" s="129" t="s">
        <v>1065</v>
      </c>
      <c r="N1688" s="129" t="s">
        <v>32</v>
      </c>
      <c r="O1688" s="129" t="s">
        <v>28</v>
      </c>
      <c r="P1688" s="129" t="str">
        <f t="shared" si="53"/>
        <v>N/A</v>
      </c>
      <c r="Q1688" s="128" t="s">
        <v>3068</v>
      </c>
      <c r="R1688" s="128">
        <v>42.44</v>
      </c>
      <c r="S1688" s="128">
        <v>53.65</v>
      </c>
      <c r="T1688" s="130" t="s">
        <v>1015</v>
      </c>
      <c r="U1688" s="131"/>
    </row>
    <row r="1689" spans="1:21" ht="15.75" hidden="1" thickBot="1">
      <c r="A1689" s="123">
        <v>1445</v>
      </c>
      <c r="B1689" s="123"/>
      <c r="C1689" s="123"/>
      <c r="D1689" s="123"/>
      <c r="E1689" s="123"/>
      <c r="F1689" s="123"/>
      <c r="G1689" s="127" t="s">
        <v>406</v>
      </c>
      <c r="H1689" s="128">
        <v>2008</v>
      </c>
      <c r="I1689" s="128" t="s">
        <v>38</v>
      </c>
      <c r="J1689" s="128">
        <f t="shared" si="52"/>
        <v>6</v>
      </c>
      <c r="K1689" s="128" t="s">
        <v>419</v>
      </c>
      <c r="L1689" s="128" t="s">
        <v>40</v>
      </c>
      <c r="M1689" s="129" t="s">
        <v>31</v>
      </c>
      <c r="N1689" s="129" t="s">
        <v>32</v>
      </c>
      <c r="O1689" s="129" t="s">
        <v>28</v>
      </c>
      <c r="P1689" s="129" t="str">
        <f t="shared" si="53"/>
        <v>N/A</v>
      </c>
      <c r="Q1689" s="128" t="s">
        <v>3039</v>
      </c>
      <c r="R1689" s="128">
        <v>37.770000000000003</v>
      </c>
      <c r="S1689" s="128">
        <v>55.84</v>
      </c>
      <c r="T1689" s="130" t="s">
        <v>31</v>
      </c>
      <c r="U1689" s="131"/>
    </row>
    <row r="1690" spans="1:21" ht="15.75" hidden="1" thickBot="1">
      <c r="A1690" s="123">
        <v>1445</v>
      </c>
      <c r="B1690" s="123"/>
      <c r="C1690" s="123"/>
      <c r="D1690" s="123"/>
      <c r="E1690" s="123"/>
      <c r="F1690" s="123"/>
      <c r="G1690" s="127" t="s">
        <v>406</v>
      </c>
      <c r="H1690" s="128">
        <v>2008</v>
      </c>
      <c r="I1690" s="128" t="s">
        <v>38</v>
      </c>
      <c r="J1690" s="128">
        <f t="shared" si="52"/>
        <v>6</v>
      </c>
      <c r="K1690" s="128" t="s">
        <v>426</v>
      </c>
      <c r="L1690" s="128" t="s">
        <v>30</v>
      </c>
      <c r="M1690" s="129" t="s">
        <v>31</v>
      </c>
      <c r="N1690" s="129" t="s">
        <v>28</v>
      </c>
      <c r="O1690" s="129" t="s">
        <v>28</v>
      </c>
      <c r="P1690" s="129" t="str">
        <f t="shared" si="53"/>
        <v>N/A</v>
      </c>
      <c r="Q1690" s="128" t="s">
        <v>3069</v>
      </c>
      <c r="R1690" s="128">
        <v>29.14</v>
      </c>
      <c r="S1690" s="128">
        <v>43.83</v>
      </c>
      <c r="T1690" s="130" t="s">
        <v>31</v>
      </c>
      <c r="U1690" s="135" t="s">
        <v>3070</v>
      </c>
    </row>
    <row r="1691" spans="1:21" ht="15.75" hidden="1" thickBot="1">
      <c r="A1691" s="123">
        <v>1445</v>
      </c>
      <c r="B1691" s="123"/>
      <c r="C1691" s="123"/>
      <c r="D1691" s="123"/>
      <c r="E1691" s="123"/>
      <c r="F1691" s="123"/>
      <c r="G1691" s="127" t="s">
        <v>406</v>
      </c>
      <c r="H1691" s="128">
        <v>2008</v>
      </c>
      <c r="I1691" s="128" t="s">
        <v>38</v>
      </c>
      <c r="J1691" s="128">
        <f t="shared" si="52"/>
        <v>6</v>
      </c>
      <c r="K1691" s="128" t="s">
        <v>3071</v>
      </c>
      <c r="L1691" s="128" t="s">
        <v>30</v>
      </c>
      <c r="M1691" s="129" t="s">
        <v>1065</v>
      </c>
      <c r="N1691" s="129" t="s">
        <v>28</v>
      </c>
      <c r="O1691" s="129" t="s">
        <v>28</v>
      </c>
      <c r="P1691" s="129" t="str">
        <f t="shared" si="53"/>
        <v>N/A</v>
      </c>
      <c r="Q1691" s="130"/>
      <c r="R1691" s="128">
        <v>2.11</v>
      </c>
      <c r="S1691" s="130"/>
      <c r="T1691" s="130"/>
      <c r="U1691" s="131" t="s">
        <v>3072</v>
      </c>
    </row>
    <row r="1692" spans="1:21" ht="15.75" hidden="1" thickBot="1">
      <c r="A1692" s="123">
        <v>1445</v>
      </c>
      <c r="B1692" s="123"/>
      <c r="C1692" s="123"/>
      <c r="D1692" s="123"/>
      <c r="E1692" s="123"/>
      <c r="F1692" s="123"/>
      <c r="G1692" s="127" t="s">
        <v>406</v>
      </c>
      <c r="H1692" s="128">
        <v>2008</v>
      </c>
      <c r="I1692" s="128" t="s">
        <v>38</v>
      </c>
      <c r="J1692" s="128">
        <f t="shared" si="52"/>
        <v>6</v>
      </c>
      <c r="K1692" s="128" t="s">
        <v>3029</v>
      </c>
      <c r="L1692" s="128" t="s">
        <v>30</v>
      </c>
      <c r="M1692" s="129" t="s">
        <v>201</v>
      </c>
      <c r="N1692" s="129" t="s">
        <v>28</v>
      </c>
      <c r="O1692" s="129" t="s">
        <v>28</v>
      </c>
      <c r="P1692" s="129" t="str">
        <f t="shared" si="53"/>
        <v>N/A</v>
      </c>
      <c r="Q1692" s="130"/>
      <c r="R1692" s="128">
        <v>8.58</v>
      </c>
      <c r="S1692" s="130"/>
      <c r="T1692" s="130"/>
      <c r="U1692" s="131"/>
    </row>
    <row r="1693" spans="1:21" ht="15.75" hidden="1" thickBot="1">
      <c r="A1693" s="123">
        <v>1445</v>
      </c>
      <c r="B1693" s="123"/>
      <c r="C1693" s="123"/>
      <c r="D1693" s="123"/>
      <c r="E1693" s="123"/>
      <c r="F1693" s="123"/>
      <c r="G1693" s="127" t="s">
        <v>406</v>
      </c>
      <c r="H1693" s="128">
        <v>2008</v>
      </c>
      <c r="I1693" s="128" t="s">
        <v>38</v>
      </c>
      <c r="J1693" s="128">
        <f t="shared" si="52"/>
        <v>6</v>
      </c>
      <c r="K1693" s="128" t="s">
        <v>3073</v>
      </c>
      <c r="L1693" s="128" t="s">
        <v>30</v>
      </c>
      <c r="M1693" s="129" t="s">
        <v>1065</v>
      </c>
      <c r="N1693" s="129" t="s">
        <v>28</v>
      </c>
      <c r="O1693" s="129" t="s">
        <v>28</v>
      </c>
      <c r="P1693" s="129" t="str">
        <f t="shared" si="53"/>
        <v>N/A</v>
      </c>
      <c r="Q1693" s="128" t="s">
        <v>3074</v>
      </c>
      <c r="R1693" s="128">
        <v>20.43</v>
      </c>
      <c r="S1693" s="130"/>
      <c r="T1693" s="130" t="s">
        <v>998</v>
      </c>
      <c r="U1693" s="131" t="s">
        <v>3075</v>
      </c>
    </row>
    <row r="1694" spans="1:21" ht="15.75" hidden="1" thickBot="1">
      <c r="A1694" s="123">
        <v>1445</v>
      </c>
      <c r="B1694" s="123"/>
      <c r="C1694" s="123"/>
      <c r="D1694" s="123"/>
      <c r="E1694" s="123"/>
      <c r="F1694" s="123"/>
      <c r="G1694" s="127" t="s">
        <v>406</v>
      </c>
      <c r="H1694" s="128">
        <v>2008</v>
      </c>
      <c r="I1694" s="128" t="s">
        <v>38</v>
      </c>
      <c r="J1694" s="128">
        <f t="shared" si="52"/>
        <v>6</v>
      </c>
      <c r="K1694" s="128" t="s">
        <v>3076</v>
      </c>
      <c r="L1694" s="128" t="s">
        <v>30</v>
      </c>
      <c r="M1694" s="129" t="s">
        <v>31</v>
      </c>
      <c r="N1694" s="129" t="s">
        <v>28</v>
      </c>
      <c r="O1694" s="129" t="s">
        <v>28</v>
      </c>
      <c r="P1694" s="129" t="str">
        <f t="shared" si="53"/>
        <v>N/A</v>
      </c>
      <c r="Q1694" s="128" t="s">
        <v>3077</v>
      </c>
      <c r="R1694" s="128">
        <v>1.76</v>
      </c>
      <c r="S1694" s="130"/>
      <c r="T1694" s="130" t="s">
        <v>31</v>
      </c>
      <c r="U1694" s="131"/>
    </row>
    <row r="1695" spans="1:21" ht="15.75" hidden="1" thickBot="1">
      <c r="A1695" s="123">
        <v>1446</v>
      </c>
      <c r="B1695" s="123"/>
      <c r="C1695" s="123"/>
      <c r="D1695" s="123"/>
      <c r="E1695" s="123"/>
      <c r="F1695" s="123"/>
      <c r="G1695" s="127" t="s">
        <v>406</v>
      </c>
      <c r="H1695" s="128">
        <v>2008</v>
      </c>
      <c r="I1695" s="128" t="s">
        <v>91</v>
      </c>
      <c r="J1695" s="128">
        <f t="shared" si="52"/>
        <v>3</v>
      </c>
      <c r="K1695" s="128" t="s">
        <v>3078</v>
      </c>
      <c r="L1695" s="128" t="s">
        <v>30</v>
      </c>
      <c r="M1695" s="129" t="s">
        <v>31</v>
      </c>
      <c r="N1695" s="129" t="s">
        <v>28</v>
      </c>
      <c r="O1695" s="129" t="s">
        <v>28</v>
      </c>
      <c r="P1695" s="129" t="str">
        <f t="shared" si="53"/>
        <v>N/A</v>
      </c>
      <c r="Q1695" s="128" t="s">
        <v>3079</v>
      </c>
      <c r="R1695" s="128">
        <v>18.260000000000002</v>
      </c>
      <c r="S1695" s="130"/>
      <c r="T1695" s="130" t="s">
        <v>31</v>
      </c>
      <c r="U1695" s="131"/>
    </row>
    <row r="1696" spans="1:21" ht="15.75" hidden="1" thickBot="1">
      <c r="A1696" s="123">
        <v>1446</v>
      </c>
      <c r="B1696" s="123"/>
      <c r="C1696" s="123"/>
      <c r="D1696" s="123"/>
      <c r="E1696" s="123"/>
      <c r="F1696" s="123"/>
      <c r="G1696" s="127" t="s">
        <v>406</v>
      </c>
      <c r="H1696" s="128">
        <v>2008</v>
      </c>
      <c r="I1696" s="128" t="s">
        <v>91</v>
      </c>
      <c r="J1696" s="128">
        <f t="shared" si="52"/>
        <v>3</v>
      </c>
      <c r="K1696" s="128" t="s">
        <v>414</v>
      </c>
      <c r="L1696" s="128" t="s">
        <v>40</v>
      </c>
      <c r="M1696" s="129" t="s">
        <v>31</v>
      </c>
      <c r="N1696" s="129" t="s">
        <v>32</v>
      </c>
      <c r="O1696" s="129" t="s">
        <v>28</v>
      </c>
      <c r="P1696" s="129" t="str">
        <f t="shared" si="53"/>
        <v>N/A</v>
      </c>
      <c r="Q1696" s="130"/>
      <c r="R1696" s="128">
        <v>49.54</v>
      </c>
      <c r="S1696" s="128">
        <v>50.94</v>
      </c>
      <c r="T1696" s="130"/>
      <c r="U1696" s="131" t="s">
        <v>3080</v>
      </c>
    </row>
    <row r="1697" spans="1:21" ht="15.75" hidden="1" thickBot="1">
      <c r="A1697" s="123">
        <v>1446</v>
      </c>
      <c r="B1697" s="123"/>
      <c r="C1697" s="123"/>
      <c r="D1697" s="123"/>
      <c r="E1697" s="123"/>
      <c r="F1697" s="123"/>
      <c r="G1697" s="127" t="s">
        <v>406</v>
      </c>
      <c r="H1697" s="128">
        <v>2008</v>
      </c>
      <c r="I1697" s="128" t="s">
        <v>91</v>
      </c>
      <c r="J1697" s="128">
        <f t="shared" si="52"/>
        <v>3</v>
      </c>
      <c r="K1697" s="128" t="s">
        <v>3081</v>
      </c>
      <c r="L1697" s="128" t="s">
        <v>30</v>
      </c>
      <c r="M1697" s="129" t="s">
        <v>201</v>
      </c>
      <c r="N1697" s="129" t="s">
        <v>28</v>
      </c>
      <c r="O1697" s="129" t="s">
        <v>28</v>
      </c>
      <c r="P1697" s="129" t="str">
        <f t="shared" si="53"/>
        <v>N/A</v>
      </c>
      <c r="Q1697" s="128" t="s">
        <v>3082</v>
      </c>
      <c r="R1697" s="128">
        <v>31.9</v>
      </c>
      <c r="S1697" s="128">
        <v>48.84</v>
      </c>
      <c r="T1697" s="130" t="s">
        <v>3083</v>
      </c>
      <c r="U1697" s="131"/>
    </row>
    <row r="1698" spans="1:21" ht="15.75" hidden="1" thickBot="1">
      <c r="A1698" s="123">
        <v>1447</v>
      </c>
      <c r="B1698" s="123"/>
      <c r="C1698" s="123"/>
      <c r="D1698" s="123"/>
      <c r="E1698" s="123"/>
      <c r="F1698" s="123"/>
      <c r="G1698" s="127" t="s">
        <v>406</v>
      </c>
      <c r="H1698" s="128">
        <v>2008</v>
      </c>
      <c r="I1698" s="128" t="s">
        <v>79</v>
      </c>
      <c r="J1698" s="128">
        <f t="shared" si="52"/>
        <v>2</v>
      </c>
      <c r="K1698" s="128" t="s">
        <v>3084</v>
      </c>
      <c r="L1698" s="128" t="s">
        <v>30</v>
      </c>
      <c r="M1698" s="129" t="s">
        <v>31</v>
      </c>
      <c r="N1698" s="129" t="s">
        <v>28</v>
      </c>
      <c r="O1698" s="129" t="s">
        <v>28</v>
      </c>
      <c r="P1698" s="129" t="str">
        <f t="shared" si="53"/>
        <v>N/A</v>
      </c>
      <c r="Q1698" s="128" t="s">
        <v>3085</v>
      </c>
      <c r="R1698" s="128">
        <v>50.08</v>
      </c>
      <c r="S1698" s="128">
        <v>43.41</v>
      </c>
      <c r="T1698" s="130" t="s">
        <v>31</v>
      </c>
      <c r="U1698" s="131" t="s">
        <v>3086</v>
      </c>
    </row>
    <row r="1699" spans="1:21" ht="15.75" hidden="1" thickBot="1">
      <c r="A1699" s="123">
        <v>1447</v>
      </c>
      <c r="B1699" s="123"/>
      <c r="C1699" s="123"/>
      <c r="D1699" s="123"/>
      <c r="E1699" s="123"/>
      <c r="F1699" s="123"/>
      <c r="G1699" s="127" t="s">
        <v>406</v>
      </c>
      <c r="H1699" s="128">
        <v>2008</v>
      </c>
      <c r="I1699" s="128" t="s">
        <v>79</v>
      </c>
      <c r="J1699" s="128">
        <f t="shared" si="52"/>
        <v>2</v>
      </c>
      <c r="K1699" s="169" t="s">
        <v>420</v>
      </c>
      <c r="L1699" s="128" t="s">
        <v>40</v>
      </c>
      <c r="M1699" s="129" t="s">
        <v>31</v>
      </c>
      <c r="N1699" s="129" t="s">
        <v>32</v>
      </c>
      <c r="O1699" s="129" t="s">
        <v>28</v>
      </c>
      <c r="P1699" s="129" t="str">
        <f t="shared" si="53"/>
        <v>N/A</v>
      </c>
      <c r="Q1699" s="130"/>
      <c r="R1699" s="128">
        <v>49.54</v>
      </c>
      <c r="S1699" s="128">
        <v>56.34</v>
      </c>
      <c r="T1699" s="130"/>
      <c r="U1699" s="131" t="s">
        <v>3087</v>
      </c>
    </row>
    <row r="1700" spans="1:21" ht="15.75" hidden="1" thickBot="1">
      <c r="A1700" s="123">
        <v>1448</v>
      </c>
      <c r="B1700" s="123"/>
      <c r="C1700" s="123"/>
      <c r="D1700" s="123"/>
      <c r="E1700" s="123"/>
      <c r="F1700" s="123"/>
      <c r="G1700" s="127" t="s">
        <v>406</v>
      </c>
      <c r="H1700" s="128">
        <v>2008</v>
      </c>
      <c r="I1700" s="128" t="s">
        <v>100</v>
      </c>
      <c r="J1700" s="128">
        <f t="shared" si="52"/>
        <v>3</v>
      </c>
      <c r="K1700" s="128" t="s">
        <v>421</v>
      </c>
      <c r="L1700" s="128" t="s">
        <v>30</v>
      </c>
      <c r="M1700" s="129" t="s">
        <v>31</v>
      </c>
      <c r="N1700" s="129" t="s">
        <v>32</v>
      </c>
      <c r="O1700" s="129" t="s">
        <v>28</v>
      </c>
      <c r="P1700" s="129" t="str">
        <f t="shared" si="53"/>
        <v>N/A</v>
      </c>
      <c r="Q1700" s="128" t="s">
        <v>3088</v>
      </c>
      <c r="R1700" s="128">
        <v>42.42</v>
      </c>
      <c r="S1700" s="128">
        <v>59.7</v>
      </c>
      <c r="T1700" s="130" t="s">
        <v>31</v>
      </c>
      <c r="U1700" s="135" t="s">
        <v>3070</v>
      </c>
    </row>
    <row r="1701" spans="1:21" ht="15.75" hidden="1" thickBot="1">
      <c r="A1701" s="123">
        <v>1448</v>
      </c>
      <c r="B1701" s="123"/>
      <c r="C1701" s="123"/>
      <c r="D1701" s="123"/>
      <c r="E1701" s="123"/>
      <c r="F1701" s="123"/>
      <c r="G1701" s="127" t="s">
        <v>406</v>
      </c>
      <c r="H1701" s="128">
        <v>2008</v>
      </c>
      <c r="I1701" s="128" t="s">
        <v>100</v>
      </c>
      <c r="J1701" s="128">
        <f t="shared" si="52"/>
        <v>3</v>
      </c>
      <c r="K1701" s="128" t="s">
        <v>3053</v>
      </c>
      <c r="L1701" s="128" t="s">
        <v>30</v>
      </c>
      <c r="M1701" s="129" t="s">
        <v>31</v>
      </c>
      <c r="N1701" s="129" t="s">
        <v>28</v>
      </c>
      <c r="O1701" s="129" t="s">
        <v>28</v>
      </c>
      <c r="P1701" s="129" t="str">
        <f t="shared" si="53"/>
        <v>N/A</v>
      </c>
      <c r="Q1701" s="130"/>
      <c r="R1701" s="128">
        <v>36.24</v>
      </c>
      <c r="S1701" s="128">
        <v>40.03</v>
      </c>
      <c r="T1701" s="130"/>
      <c r="U1701" s="131"/>
    </row>
    <row r="1702" spans="1:21" ht="15.75" hidden="1" thickBot="1">
      <c r="A1702" s="123">
        <v>1448</v>
      </c>
      <c r="B1702" s="123"/>
      <c r="C1702" s="123"/>
      <c r="D1702" s="123"/>
      <c r="E1702" s="123"/>
      <c r="F1702" s="123"/>
      <c r="G1702" s="127" t="s">
        <v>406</v>
      </c>
      <c r="H1702" s="128">
        <v>2008</v>
      </c>
      <c r="I1702" s="128" t="s">
        <v>100</v>
      </c>
      <c r="J1702" s="128">
        <f t="shared" si="52"/>
        <v>3</v>
      </c>
      <c r="K1702" s="128" t="s">
        <v>3089</v>
      </c>
      <c r="L1702" s="128" t="s">
        <v>30</v>
      </c>
      <c r="M1702" s="129" t="s">
        <v>1003</v>
      </c>
      <c r="N1702" s="129" t="s">
        <v>28</v>
      </c>
      <c r="O1702" s="129" t="s">
        <v>28</v>
      </c>
      <c r="P1702" s="129" t="str">
        <f t="shared" si="53"/>
        <v>N/A</v>
      </c>
      <c r="Q1702" s="128" t="s">
        <v>1004</v>
      </c>
      <c r="R1702" s="128">
        <v>21</v>
      </c>
      <c r="S1702" s="130"/>
      <c r="T1702" s="130"/>
      <c r="U1702" s="131"/>
    </row>
    <row r="1703" spans="1:21" ht="15.75" hidden="1" thickBot="1">
      <c r="A1703" s="123">
        <v>1442</v>
      </c>
      <c r="B1703" s="123"/>
      <c r="C1703" s="123"/>
      <c r="D1703" s="123"/>
      <c r="E1703" s="123"/>
      <c r="F1703" s="123"/>
      <c r="G1703" s="127" t="s">
        <v>406</v>
      </c>
      <c r="H1703" s="128">
        <v>2010</v>
      </c>
      <c r="I1703" s="128" t="s">
        <v>76</v>
      </c>
      <c r="J1703" s="128">
        <f t="shared" si="52"/>
        <v>2</v>
      </c>
      <c r="K1703" s="128" t="s">
        <v>408</v>
      </c>
      <c r="L1703" s="128" t="s">
        <v>30</v>
      </c>
      <c r="M1703" s="129" t="s">
        <v>201</v>
      </c>
      <c r="N1703" s="129" t="s">
        <v>32</v>
      </c>
      <c r="O1703" s="129" t="s">
        <v>32</v>
      </c>
      <c r="P1703" s="129" t="str">
        <f t="shared" si="53"/>
        <v>Y</v>
      </c>
      <c r="Q1703" s="130"/>
      <c r="R1703" s="128">
        <v>72.83</v>
      </c>
      <c r="S1703" s="128">
        <v>56.33</v>
      </c>
      <c r="T1703" s="130"/>
      <c r="U1703" s="131" t="s">
        <v>3090</v>
      </c>
    </row>
    <row r="1704" spans="1:21" ht="15.75" hidden="1" thickBot="1">
      <c r="A1704" s="123">
        <v>1442</v>
      </c>
      <c r="B1704" s="123"/>
      <c r="C1704" s="123"/>
      <c r="D1704" s="123"/>
      <c r="E1704" s="123"/>
      <c r="F1704" s="123"/>
      <c r="G1704" s="127" t="s">
        <v>406</v>
      </c>
      <c r="H1704" s="128">
        <v>2010</v>
      </c>
      <c r="I1704" s="128" t="s">
        <v>76</v>
      </c>
      <c r="J1704" s="128">
        <f t="shared" si="52"/>
        <v>2</v>
      </c>
      <c r="K1704" s="128" t="s">
        <v>3091</v>
      </c>
      <c r="L1704" s="128" t="s">
        <v>40</v>
      </c>
      <c r="M1704" s="129" t="s">
        <v>1065</v>
      </c>
      <c r="N1704" s="129" t="s">
        <v>28</v>
      </c>
      <c r="O1704" s="129" t="s">
        <v>28</v>
      </c>
      <c r="P1704" s="129" t="str">
        <f t="shared" si="53"/>
        <v>N/A</v>
      </c>
      <c r="Q1704" s="128" t="s">
        <v>3068</v>
      </c>
      <c r="R1704" s="128">
        <v>26.53</v>
      </c>
      <c r="S1704" s="128">
        <v>43.19</v>
      </c>
      <c r="T1704" s="130" t="s">
        <v>1069</v>
      </c>
      <c r="U1704" s="131" t="s">
        <v>3092</v>
      </c>
    </row>
    <row r="1705" spans="1:21" ht="15.75" hidden="1" thickBot="1">
      <c r="A1705" s="123">
        <v>1443</v>
      </c>
      <c r="B1705" s="123"/>
      <c r="C1705" s="123"/>
      <c r="D1705" s="123"/>
      <c r="E1705" s="123"/>
      <c r="F1705" s="123"/>
      <c r="G1705" s="127" t="s">
        <v>406</v>
      </c>
      <c r="H1705" s="128">
        <v>2010</v>
      </c>
      <c r="I1705" s="128" t="s">
        <v>94</v>
      </c>
      <c r="J1705" s="128">
        <f t="shared" si="52"/>
        <v>2</v>
      </c>
      <c r="K1705" s="128" t="s">
        <v>3093</v>
      </c>
      <c r="L1705" s="128" t="s">
        <v>30</v>
      </c>
      <c r="M1705" s="129" t="s">
        <v>1065</v>
      </c>
      <c r="N1705" s="129" t="s">
        <v>28</v>
      </c>
      <c r="O1705" s="129" t="s">
        <v>28</v>
      </c>
      <c r="P1705" s="129" t="str">
        <f t="shared" si="53"/>
        <v>N/A</v>
      </c>
      <c r="Q1705" s="128" t="s">
        <v>3090</v>
      </c>
      <c r="R1705" s="128">
        <v>18.579999999999998</v>
      </c>
      <c r="S1705" s="128">
        <v>30.3</v>
      </c>
      <c r="T1705" s="130" t="s">
        <v>1015</v>
      </c>
      <c r="U1705" s="131"/>
    </row>
    <row r="1706" spans="1:21" ht="15.75" hidden="1" thickBot="1">
      <c r="A1706" s="123">
        <v>1443</v>
      </c>
      <c r="B1706" s="123"/>
      <c r="C1706" s="123"/>
      <c r="D1706" s="123"/>
      <c r="E1706" s="123"/>
      <c r="F1706" s="123"/>
      <c r="G1706" s="127" t="s">
        <v>406</v>
      </c>
      <c r="H1706" s="128">
        <v>2010</v>
      </c>
      <c r="I1706" s="128" t="s">
        <v>94</v>
      </c>
      <c r="J1706" s="128">
        <f t="shared" si="52"/>
        <v>2</v>
      </c>
      <c r="K1706" s="128" t="s">
        <v>417</v>
      </c>
      <c r="L1706" s="128" t="s">
        <v>30</v>
      </c>
      <c r="M1706" s="129" t="s">
        <v>31</v>
      </c>
      <c r="N1706" s="129" t="s">
        <v>32</v>
      </c>
      <c r="O1706" s="129" t="s">
        <v>28</v>
      </c>
      <c r="P1706" s="129" t="str">
        <f t="shared" si="53"/>
        <v>N/A</v>
      </c>
      <c r="Q1706" s="128" t="s">
        <v>3094</v>
      </c>
      <c r="R1706" s="128">
        <v>80.91</v>
      </c>
      <c r="S1706" s="128">
        <v>69.239999999999995</v>
      </c>
      <c r="T1706" s="130" t="s">
        <v>31</v>
      </c>
      <c r="U1706" s="131" t="s">
        <v>3095</v>
      </c>
    </row>
    <row r="1707" spans="1:21" ht="15.75" hidden="1" thickBot="1">
      <c r="A1707" s="123">
        <v>1444</v>
      </c>
      <c r="B1707" s="123"/>
      <c r="C1707" s="123"/>
      <c r="D1707" s="123"/>
      <c r="E1707" s="123"/>
      <c r="F1707" s="123"/>
      <c r="G1707" s="127" t="s">
        <v>406</v>
      </c>
      <c r="H1707" s="128">
        <v>2010</v>
      </c>
      <c r="I1707" s="128" t="s">
        <v>97</v>
      </c>
      <c r="J1707" s="128">
        <f t="shared" si="52"/>
        <v>2</v>
      </c>
      <c r="K1707" s="128" t="s">
        <v>3029</v>
      </c>
      <c r="L1707" s="128" t="s">
        <v>30</v>
      </c>
      <c r="M1707" s="129" t="s">
        <v>201</v>
      </c>
      <c r="N1707" s="129" t="s">
        <v>28</v>
      </c>
      <c r="O1707" s="129" t="s">
        <v>28</v>
      </c>
      <c r="P1707" s="129" t="str">
        <f t="shared" si="53"/>
        <v>N/A</v>
      </c>
      <c r="Q1707" s="130"/>
      <c r="R1707" s="128">
        <v>23.2</v>
      </c>
      <c r="S1707" s="128">
        <v>26.61</v>
      </c>
      <c r="T1707" s="130"/>
      <c r="U1707" s="131"/>
    </row>
    <row r="1708" spans="1:21" ht="15.75" hidden="1" thickBot="1">
      <c r="A1708" s="123">
        <v>1444</v>
      </c>
      <c r="B1708" s="123"/>
      <c r="C1708" s="123"/>
      <c r="D1708" s="123"/>
      <c r="E1708" s="123"/>
      <c r="F1708" s="123"/>
      <c r="G1708" s="127" t="s">
        <v>406</v>
      </c>
      <c r="H1708" s="128">
        <v>2010</v>
      </c>
      <c r="I1708" s="128" t="s">
        <v>97</v>
      </c>
      <c r="J1708" s="128">
        <f t="shared" si="52"/>
        <v>2</v>
      </c>
      <c r="K1708" s="128" t="s">
        <v>418</v>
      </c>
      <c r="L1708" s="128" t="s">
        <v>40</v>
      </c>
      <c r="M1708" s="129" t="s">
        <v>1065</v>
      </c>
      <c r="N1708" s="129" t="s">
        <v>32</v>
      </c>
      <c r="O1708" s="129" t="s">
        <v>32</v>
      </c>
      <c r="P1708" s="129" t="str">
        <f t="shared" si="53"/>
        <v>Y</v>
      </c>
      <c r="Q1708" s="128" t="s">
        <v>3068</v>
      </c>
      <c r="R1708" s="128">
        <v>75.94</v>
      </c>
      <c r="S1708" s="128">
        <v>72.819999999999993</v>
      </c>
      <c r="T1708" s="130" t="s">
        <v>1015</v>
      </c>
      <c r="U1708" s="131"/>
    </row>
    <row r="1709" spans="1:21" ht="15.75" thickBot="1">
      <c r="A1709" s="123">
        <v>1438</v>
      </c>
      <c r="B1709" s="123"/>
      <c r="C1709" s="123"/>
      <c r="D1709" s="123"/>
      <c r="E1709" s="123"/>
      <c r="F1709" s="123"/>
      <c r="G1709" s="127" t="s">
        <v>406</v>
      </c>
      <c r="H1709" s="128">
        <v>2012</v>
      </c>
      <c r="I1709" s="128" t="s">
        <v>38</v>
      </c>
      <c r="J1709" s="128">
        <f t="shared" si="52"/>
        <v>7</v>
      </c>
      <c r="K1709" s="128" t="s">
        <v>419</v>
      </c>
      <c r="L1709" s="128" t="s">
        <v>40</v>
      </c>
      <c r="M1709" s="129" t="s">
        <v>31</v>
      </c>
      <c r="N1709" s="129" t="s">
        <v>28</v>
      </c>
      <c r="O1709" s="129" t="s">
        <v>32</v>
      </c>
      <c r="P1709" s="129" t="str">
        <f t="shared" si="53"/>
        <v>N</v>
      </c>
      <c r="Q1709" s="128" t="s">
        <v>3039</v>
      </c>
      <c r="R1709" s="128">
        <v>40.79</v>
      </c>
      <c r="S1709" s="128">
        <v>40.76</v>
      </c>
      <c r="T1709" s="130" t="s">
        <v>31</v>
      </c>
      <c r="U1709" s="123"/>
    </row>
    <row r="1710" spans="1:21" ht="15.75" hidden="1" thickBot="1">
      <c r="A1710" s="123">
        <v>1438</v>
      </c>
      <c r="B1710" s="123"/>
      <c r="C1710" s="123"/>
      <c r="D1710" s="123"/>
      <c r="E1710" s="123"/>
      <c r="F1710" s="123"/>
      <c r="G1710" s="127" t="s">
        <v>406</v>
      </c>
      <c r="H1710" s="128">
        <v>2012</v>
      </c>
      <c r="I1710" s="128" t="s">
        <v>38</v>
      </c>
      <c r="J1710" s="128">
        <f t="shared" si="52"/>
        <v>7</v>
      </c>
      <c r="K1710" s="128" t="s">
        <v>413</v>
      </c>
      <c r="L1710" s="128" t="s">
        <v>30</v>
      </c>
      <c r="M1710" s="129" t="s">
        <v>31</v>
      </c>
      <c r="N1710" s="129" t="s">
        <v>32</v>
      </c>
      <c r="O1710" s="129" t="s">
        <v>28</v>
      </c>
      <c r="P1710" s="129" t="str">
        <f t="shared" si="53"/>
        <v>N/A</v>
      </c>
      <c r="Q1710" s="128" t="s">
        <v>3096</v>
      </c>
      <c r="R1710" s="128">
        <v>21.42</v>
      </c>
      <c r="S1710" s="128">
        <v>59.24</v>
      </c>
      <c r="T1710" s="130" t="s">
        <v>31</v>
      </c>
      <c r="U1710" s="131" t="s">
        <v>3097</v>
      </c>
    </row>
    <row r="1711" spans="1:21" ht="15.75" hidden="1" thickBot="1">
      <c r="A1711" s="123">
        <v>1438</v>
      </c>
      <c r="B1711" s="123"/>
      <c r="C1711" s="123"/>
      <c r="D1711" s="123"/>
      <c r="E1711" s="123"/>
      <c r="F1711" s="123"/>
      <c r="G1711" s="127" t="s">
        <v>406</v>
      </c>
      <c r="H1711" s="128">
        <v>2012</v>
      </c>
      <c r="I1711" s="128" t="s">
        <v>38</v>
      </c>
      <c r="J1711" s="128">
        <f t="shared" si="52"/>
        <v>7</v>
      </c>
      <c r="K1711" s="128" t="s">
        <v>3098</v>
      </c>
      <c r="L1711" s="128" t="s">
        <v>30</v>
      </c>
      <c r="M1711" s="129" t="s">
        <v>31</v>
      </c>
      <c r="N1711" s="129" t="s">
        <v>28</v>
      </c>
      <c r="O1711" s="129" t="s">
        <v>28</v>
      </c>
      <c r="P1711" s="129" t="str">
        <f t="shared" si="53"/>
        <v>N/A</v>
      </c>
      <c r="Q1711" s="128" t="s">
        <v>3099</v>
      </c>
      <c r="R1711" s="128">
        <v>2.67</v>
      </c>
      <c r="S1711" s="130"/>
      <c r="T1711" s="130" t="s">
        <v>31</v>
      </c>
      <c r="U1711" s="131"/>
    </row>
    <row r="1712" spans="1:21" ht="15.75" hidden="1" thickBot="1">
      <c r="A1712" s="123">
        <v>1438</v>
      </c>
      <c r="B1712" s="123"/>
      <c r="C1712" s="123"/>
      <c r="D1712" s="123"/>
      <c r="E1712" s="123"/>
      <c r="F1712" s="123"/>
      <c r="G1712" s="127" t="s">
        <v>406</v>
      </c>
      <c r="H1712" s="128">
        <v>2012</v>
      </c>
      <c r="I1712" s="128" t="s">
        <v>38</v>
      </c>
      <c r="J1712" s="128">
        <f t="shared" si="52"/>
        <v>7</v>
      </c>
      <c r="K1712" s="128" t="s">
        <v>3100</v>
      </c>
      <c r="L1712" s="128" t="s">
        <v>30</v>
      </c>
      <c r="M1712" s="129" t="s">
        <v>31</v>
      </c>
      <c r="N1712" s="129" t="s">
        <v>28</v>
      </c>
      <c r="O1712" s="129" t="s">
        <v>28</v>
      </c>
      <c r="P1712" s="129" t="str">
        <f t="shared" si="53"/>
        <v>N/A</v>
      </c>
      <c r="Q1712" s="128" t="s">
        <v>3101</v>
      </c>
      <c r="R1712" s="128">
        <v>3.44</v>
      </c>
      <c r="S1712" s="130"/>
      <c r="T1712" s="130" t="s">
        <v>31</v>
      </c>
      <c r="U1712" s="131"/>
    </row>
    <row r="1713" spans="1:21" ht="15.75" hidden="1" thickBot="1">
      <c r="A1713" s="123">
        <v>1438</v>
      </c>
      <c r="B1713" s="123"/>
      <c r="C1713" s="123"/>
      <c r="D1713" s="123"/>
      <c r="E1713" s="123"/>
      <c r="F1713" s="123"/>
      <c r="G1713" s="127" t="s">
        <v>406</v>
      </c>
      <c r="H1713" s="128">
        <v>2012</v>
      </c>
      <c r="I1713" s="128" t="s">
        <v>38</v>
      </c>
      <c r="J1713" s="128">
        <f t="shared" si="52"/>
        <v>7</v>
      </c>
      <c r="K1713" s="128" t="s">
        <v>3102</v>
      </c>
      <c r="L1713" s="128" t="s">
        <v>30</v>
      </c>
      <c r="M1713" s="129" t="s">
        <v>31</v>
      </c>
      <c r="N1713" s="129" t="s">
        <v>28</v>
      </c>
      <c r="O1713" s="129" t="s">
        <v>28</v>
      </c>
      <c r="P1713" s="129" t="str">
        <f t="shared" si="53"/>
        <v>N/A</v>
      </c>
      <c r="Q1713" s="128" t="s">
        <v>3103</v>
      </c>
      <c r="R1713" s="128">
        <v>15</v>
      </c>
      <c r="S1713" s="130"/>
      <c r="T1713" s="130" t="s">
        <v>31</v>
      </c>
      <c r="U1713" s="131"/>
    </row>
    <row r="1714" spans="1:21" ht="15.75" hidden="1" thickBot="1">
      <c r="A1714" s="123">
        <v>1438</v>
      </c>
      <c r="B1714" s="123"/>
      <c r="C1714" s="123"/>
      <c r="D1714" s="123"/>
      <c r="E1714" s="123"/>
      <c r="F1714" s="123"/>
      <c r="G1714" s="127" t="s">
        <v>406</v>
      </c>
      <c r="H1714" s="128">
        <v>2012</v>
      </c>
      <c r="I1714" s="128" t="s">
        <v>38</v>
      </c>
      <c r="J1714" s="128">
        <f t="shared" si="52"/>
        <v>7</v>
      </c>
      <c r="K1714" s="128" t="s">
        <v>3029</v>
      </c>
      <c r="L1714" s="128" t="s">
        <v>30</v>
      </c>
      <c r="M1714" s="129" t="s">
        <v>201</v>
      </c>
      <c r="N1714" s="129" t="s">
        <v>28</v>
      </c>
      <c r="O1714" s="129" t="s">
        <v>28</v>
      </c>
      <c r="P1714" s="129" t="str">
        <f t="shared" si="53"/>
        <v>N/A</v>
      </c>
      <c r="Q1714" s="128" t="s">
        <v>3104</v>
      </c>
      <c r="R1714" s="128">
        <v>11.55</v>
      </c>
      <c r="S1714" s="130"/>
      <c r="T1714" s="130" t="s">
        <v>998</v>
      </c>
      <c r="U1714" s="131"/>
    </row>
    <row r="1715" spans="1:21" ht="15.75" hidden="1" thickBot="1">
      <c r="A1715" s="123">
        <v>1438</v>
      </c>
      <c r="B1715" s="123"/>
      <c r="C1715" s="123"/>
      <c r="D1715" s="123"/>
      <c r="E1715" s="123"/>
      <c r="F1715" s="123"/>
      <c r="G1715" s="127" t="s">
        <v>406</v>
      </c>
      <c r="H1715" s="128">
        <v>2012</v>
      </c>
      <c r="I1715" s="128" t="s">
        <v>38</v>
      </c>
      <c r="J1715" s="128">
        <f t="shared" si="52"/>
        <v>7</v>
      </c>
      <c r="K1715" s="128" t="s">
        <v>3105</v>
      </c>
      <c r="L1715" s="128" t="s">
        <v>30</v>
      </c>
      <c r="M1715" s="129" t="s">
        <v>31</v>
      </c>
      <c r="N1715" s="129" t="s">
        <v>28</v>
      </c>
      <c r="O1715" s="129" t="s">
        <v>28</v>
      </c>
      <c r="P1715" s="129" t="str">
        <f t="shared" si="53"/>
        <v>N/A</v>
      </c>
      <c r="Q1715" s="128" t="s">
        <v>3106</v>
      </c>
      <c r="R1715" s="128">
        <v>4.72</v>
      </c>
      <c r="S1715" s="130"/>
      <c r="T1715" s="130" t="s">
        <v>31</v>
      </c>
      <c r="U1715" s="131" t="s">
        <v>3107</v>
      </c>
    </row>
    <row r="1716" spans="1:21" ht="15.75" hidden="1" thickBot="1">
      <c r="A1716" s="123">
        <v>1439</v>
      </c>
      <c r="B1716" s="123"/>
      <c r="C1716" s="123"/>
      <c r="D1716" s="123"/>
      <c r="E1716" s="123"/>
      <c r="F1716" s="123"/>
      <c r="G1716" s="127" t="s">
        <v>406</v>
      </c>
      <c r="H1716" s="128">
        <v>2012</v>
      </c>
      <c r="I1716" s="128" t="s">
        <v>91</v>
      </c>
      <c r="J1716" s="128">
        <f t="shared" si="52"/>
        <v>2</v>
      </c>
      <c r="K1716" s="128" t="s">
        <v>414</v>
      </c>
      <c r="L1716" s="128" t="s">
        <v>40</v>
      </c>
      <c r="M1716" s="129" t="s">
        <v>31</v>
      </c>
      <c r="N1716" s="129" t="s">
        <v>32</v>
      </c>
      <c r="O1716" s="129" t="s">
        <v>32</v>
      </c>
      <c r="P1716" s="129" t="str">
        <f t="shared" si="53"/>
        <v>Y</v>
      </c>
      <c r="Q1716" s="128" t="s">
        <v>3108</v>
      </c>
      <c r="R1716" s="128">
        <v>61.17</v>
      </c>
      <c r="S1716" s="128">
        <v>59.17</v>
      </c>
      <c r="T1716" s="130" t="s">
        <v>31</v>
      </c>
      <c r="U1716" s="131"/>
    </row>
    <row r="1717" spans="1:21" ht="15.75" hidden="1" thickBot="1">
      <c r="A1717" s="123">
        <v>1439</v>
      </c>
      <c r="B1717" s="123"/>
      <c r="C1717" s="123"/>
      <c r="D1717" s="123"/>
      <c r="E1717" s="123"/>
      <c r="F1717" s="123"/>
      <c r="G1717" s="127" t="s">
        <v>406</v>
      </c>
      <c r="H1717" s="128">
        <v>2012</v>
      </c>
      <c r="I1717" s="128" t="s">
        <v>91</v>
      </c>
      <c r="J1717" s="128">
        <f t="shared" si="52"/>
        <v>2</v>
      </c>
      <c r="K1717" s="128" t="s">
        <v>3109</v>
      </c>
      <c r="L1717" s="128" t="s">
        <v>30</v>
      </c>
      <c r="M1717" s="129" t="s">
        <v>31</v>
      </c>
      <c r="N1717" s="129" t="s">
        <v>28</v>
      </c>
      <c r="O1717" s="129" t="s">
        <v>28</v>
      </c>
      <c r="P1717" s="129" t="str">
        <f t="shared" si="53"/>
        <v>N/A</v>
      </c>
      <c r="Q1717" s="128" t="s">
        <v>3110</v>
      </c>
      <c r="R1717" s="128">
        <v>38.270000000000003</v>
      </c>
      <c r="S1717" s="128">
        <v>40.83</v>
      </c>
      <c r="T1717" s="130" t="s">
        <v>31</v>
      </c>
      <c r="U1717" s="131" t="s">
        <v>3111</v>
      </c>
    </row>
    <row r="1718" spans="1:21" ht="15.75" thickBot="1">
      <c r="A1718" s="123">
        <v>1440</v>
      </c>
      <c r="B1718" s="123"/>
      <c r="C1718" s="123"/>
      <c r="D1718" s="123"/>
      <c r="E1718" s="123"/>
      <c r="F1718" s="123"/>
      <c r="G1718" s="127" t="s">
        <v>406</v>
      </c>
      <c r="H1718" s="128">
        <v>2012</v>
      </c>
      <c r="I1718" s="128" t="s">
        <v>79</v>
      </c>
      <c r="J1718" s="128">
        <f t="shared" si="52"/>
        <v>3</v>
      </c>
      <c r="K1718" s="128" t="s">
        <v>420</v>
      </c>
      <c r="L1718" s="128" t="s">
        <v>40</v>
      </c>
      <c r="M1718" s="129" t="s">
        <v>31</v>
      </c>
      <c r="N1718" s="129" t="s">
        <v>28</v>
      </c>
      <c r="O1718" s="129" t="s">
        <v>32</v>
      </c>
      <c r="P1718" s="129" t="str">
        <f t="shared" si="53"/>
        <v>N</v>
      </c>
      <c r="Q1718" s="128" t="s">
        <v>3112</v>
      </c>
      <c r="R1718" s="128">
        <v>47.41</v>
      </c>
      <c r="S1718" s="128">
        <v>48.36</v>
      </c>
      <c r="T1718" s="130" t="s">
        <v>31</v>
      </c>
      <c r="U1718" s="131"/>
    </row>
    <row r="1719" spans="1:21" ht="15.75" hidden="1" thickBot="1">
      <c r="A1719" s="123">
        <v>1440</v>
      </c>
      <c r="B1719" s="123"/>
      <c r="C1719" s="123"/>
      <c r="D1719" s="123"/>
      <c r="E1719" s="123"/>
      <c r="F1719" s="123"/>
      <c r="G1719" s="127" t="s">
        <v>406</v>
      </c>
      <c r="H1719" s="128">
        <v>2012</v>
      </c>
      <c r="I1719" s="128" t="s">
        <v>79</v>
      </c>
      <c r="J1719" s="128">
        <f t="shared" si="52"/>
        <v>3</v>
      </c>
      <c r="K1719" s="128" t="s">
        <v>415</v>
      </c>
      <c r="L1719" s="128" t="s">
        <v>30</v>
      </c>
      <c r="M1719" s="129" t="s">
        <v>1065</v>
      </c>
      <c r="N1719" s="129" t="s">
        <v>32</v>
      </c>
      <c r="O1719" s="129" t="s">
        <v>28</v>
      </c>
      <c r="P1719" s="129" t="str">
        <f t="shared" si="53"/>
        <v>N/A</v>
      </c>
      <c r="Q1719" s="138" t="s">
        <v>3113</v>
      </c>
      <c r="R1719" s="128">
        <v>36.47</v>
      </c>
      <c r="S1719" s="128">
        <v>51.64</v>
      </c>
      <c r="T1719" s="130" t="s">
        <v>998</v>
      </c>
      <c r="U1719" s="131" t="s">
        <v>3114</v>
      </c>
    </row>
    <row r="1720" spans="1:21" ht="26.25" hidden="1" thickBot="1">
      <c r="A1720" s="123">
        <v>1440</v>
      </c>
      <c r="B1720" s="123"/>
      <c r="C1720" s="123"/>
      <c r="D1720" s="123"/>
      <c r="E1720" s="123"/>
      <c r="F1720" s="123"/>
      <c r="G1720" s="127" t="s">
        <v>406</v>
      </c>
      <c r="H1720" s="128">
        <v>2012</v>
      </c>
      <c r="I1720" s="128" t="s">
        <v>79</v>
      </c>
      <c r="J1720" s="128">
        <f t="shared" si="52"/>
        <v>3</v>
      </c>
      <c r="K1720" s="128" t="s">
        <v>3115</v>
      </c>
      <c r="L1720" s="128" t="s">
        <v>40</v>
      </c>
      <c r="M1720" s="129" t="s">
        <v>1065</v>
      </c>
      <c r="N1720" s="129" t="s">
        <v>28</v>
      </c>
      <c r="O1720" s="129" t="s">
        <v>28</v>
      </c>
      <c r="P1720" s="129" t="str">
        <f t="shared" si="53"/>
        <v>N/A</v>
      </c>
      <c r="Q1720" s="128" t="s">
        <v>3116</v>
      </c>
      <c r="R1720" s="128">
        <v>15.52</v>
      </c>
      <c r="S1720" s="130"/>
      <c r="T1720" s="130" t="s">
        <v>1051</v>
      </c>
      <c r="U1720" s="131" t="s">
        <v>3116</v>
      </c>
    </row>
    <row r="1721" spans="1:21" ht="15.75" thickBot="1">
      <c r="A1721" s="123">
        <v>1441</v>
      </c>
      <c r="B1721" s="123"/>
      <c r="C1721" s="123"/>
      <c r="D1721" s="123"/>
      <c r="E1721" s="123"/>
      <c r="F1721" s="123"/>
      <c r="G1721" s="127" t="s">
        <v>406</v>
      </c>
      <c r="H1721" s="128">
        <v>2012</v>
      </c>
      <c r="I1721" s="128" t="s">
        <v>100</v>
      </c>
      <c r="J1721" s="128">
        <f t="shared" si="52"/>
        <v>2</v>
      </c>
      <c r="K1721" s="128" t="s">
        <v>421</v>
      </c>
      <c r="L1721" s="128" t="s">
        <v>30</v>
      </c>
      <c r="M1721" s="129" t="s">
        <v>31</v>
      </c>
      <c r="N1721" s="129" t="s">
        <v>28</v>
      </c>
      <c r="O1721" s="129" t="s">
        <v>32</v>
      </c>
      <c r="P1721" s="129" t="str">
        <f t="shared" si="53"/>
        <v>N</v>
      </c>
      <c r="Q1721" s="128" t="s">
        <v>3088</v>
      </c>
      <c r="R1721" s="128">
        <v>43.52</v>
      </c>
      <c r="S1721" s="128">
        <v>38.21</v>
      </c>
      <c r="T1721" s="130" t="s">
        <v>31</v>
      </c>
      <c r="U1721" s="131"/>
    </row>
    <row r="1722" spans="1:21" ht="15.75" hidden="1" thickBot="1">
      <c r="A1722" s="123">
        <v>1441</v>
      </c>
      <c r="B1722" s="123"/>
      <c r="C1722" s="123"/>
      <c r="D1722" s="123"/>
      <c r="E1722" s="123"/>
      <c r="F1722" s="123"/>
      <c r="G1722" s="127" t="s">
        <v>406</v>
      </c>
      <c r="H1722" s="128">
        <v>2012</v>
      </c>
      <c r="I1722" s="128" t="s">
        <v>100</v>
      </c>
      <c r="J1722" s="128">
        <f t="shared" si="52"/>
        <v>2</v>
      </c>
      <c r="K1722" s="128" t="s">
        <v>416</v>
      </c>
      <c r="L1722" s="128" t="s">
        <v>30</v>
      </c>
      <c r="M1722" s="129" t="s">
        <v>201</v>
      </c>
      <c r="N1722" s="129" t="s">
        <v>32</v>
      </c>
      <c r="O1722" s="129" t="s">
        <v>28</v>
      </c>
      <c r="P1722" s="129" t="str">
        <f t="shared" si="53"/>
        <v>N/A</v>
      </c>
      <c r="Q1722" s="128" t="s">
        <v>3117</v>
      </c>
      <c r="R1722" s="128">
        <v>56.02</v>
      </c>
      <c r="S1722" s="128">
        <v>61.79</v>
      </c>
      <c r="T1722" s="130" t="s">
        <v>998</v>
      </c>
      <c r="U1722" s="131"/>
    </row>
    <row r="1723" spans="1:21" ht="15.75" hidden="1" thickBot="1">
      <c r="A1723" s="123">
        <v>1435</v>
      </c>
      <c r="B1723" s="123"/>
      <c r="C1723" s="123"/>
      <c r="D1723" s="123"/>
      <c r="E1723" s="123"/>
      <c r="F1723" s="123"/>
      <c r="G1723" s="127" t="s">
        <v>406</v>
      </c>
      <c r="H1723" s="128">
        <v>2014</v>
      </c>
      <c r="I1723" s="128" t="s">
        <v>76</v>
      </c>
      <c r="J1723" s="128">
        <f t="shared" si="52"/>
        <v>2</v>
      </c>
      <c r="K1723" s="128" t="s">
        <v>3118</v>
      </c>
      <c r="L1723" s="128" t="s">
        <v>30</v>
      </c>
      <c r="M1723" s="129" t="s">
        <v>34</v>
      </c>
      <c r="N1723" s="129" t="s">
        <v>28</v>
      </c>
      <c r="O1723" s="129" t="s">
        <v>28</v>
      </c>
      <c r="P1723" s="129" t="str">
        <f t="shared" si="53"/>
        <v>N/A</v>
      </c>
      <c r="Q1723" s="138" t="s">
        <v>3119</v>
      </c>
      <c r="R1723" s="128">
        <v>42.27</v>
      </c>
      <c r="S1723" s="128">
        <v>45.12</v>
      </c>
      <c r="T1723" s="130" t="s">
        <v>1015</v>
      </c>
      <c r="U1723" s="131"/>
    </row>
    <row r="1724" spans="1:21" ht="15.75" hidden="1" thickBot="1">
      <c r="A1724" s="123">
        <v>1435</v>
      </c>
      <c r="B1724" s="123"/>
      <c r="C1724" s="123"/>
      <c r="D1724" s="123"/>
      <c r="E1724" s="123"/>
      <c r="F1724" s="123"/>
      <c r="G1724" s="127" t="s">
        <v>406</v>
      </c>
      <c r="H1724" s="128">
        <v>2014</v>
      </c>
      <c r="I1724" s="128" t="s">
        <v>76</v>
      </c>
      <c r="J1724" s="128">
        <f t="shared" si="52"/>
        <v>2</v>
      </c>
      <c r="K1724" s="128" t="s">
        <v>408</v>
      </c>
      <c r="L1724" s="128" t="s">
        <v>30</v>
      </c>
      <c r="M1724" s="129" t="s">
        <v>201</v>
      </c>
      <c r="N1724" s="129" t="s">
        <v>32</v>
      </c>
      <c r="O1724" s="129" t="s">
        <v>32</v>
      </c>
      <c r="P1724" s="129" t="str">
        <f t="shared" si="53"/>
        <v>Y</v>
      </c>
      <c r="Q1724" s="128" t="s">
        <v>3120</v>
      </c>
      <c r="R1724" s="128">
        <v>57.33</v>
      </c>
      <c r="S1724" s="128">
        <v>54.88</v>
      </c>
      <c r="T1724" s="130" t="s">
        <v>1069</v>
      </c>
      <c r="U1724" s="131"/>
    </row>
    <row r="1725" spans="1:21" ht="26.25" hidden="1" thickBot="1">
      <c r="A1725" s="123">
        <v>1436</v>
      </c>
      <c r="B1725" s="123"/>
      <c r="C1725" s="123"/>
      <c r="D1725" s="123"/>
      <c r="E1725" s="123"/>
      <c r="F1725" s="123"/>
      <c r="G1725" s="127" t="s">
        <v>406</v>
      </c>
      <c r="H1725" s="170">
        <v>2014</v>
      </c>
      <c r="I1725" s="170" t="s">
        <v>94</v>
      </c>
      <c r="J1725" s="128">
        <f t="shared" si="52"/>
        <v>3</v>
      </c>
      <c r="K1725" s="128" t="s">
        <v>3121</v>
      </c>
      <c r="L1725" s="128" t="s">
        <v>30</v>
      </c>
      <c r="M1725" s="129" t="s">
        <v>1065</v>
      </c>
      <c r="N1725" s="129" t="s">
        <v>28</v>
      </c>
      <c r="O1725" s="129" t="s">
        <v>28</v>
      </c>
      <c r="P1725" s="129" t="str">
        <f t="shared" si="53"/>
        <v>N/A</v>
      </c>
      <c r="Q1725" s="128" t="s">
        <v>3122</v>
      </c>
      <c r="R1725" s="128">
        <v>27.15</v>
      </c>
      <c r="S1725" s="128">
        <v>35.200000000000003</v>
      </c>
      <c r="T1725" s="130" t="s">
        <v>1051</v>
      </c>
      <c r="U1725" s="131" t="s">
        <v>3123</v>
      </c>
    </row>
    <row r="1726" spans="1:21" ht="26.25" hidden="1" thickBot="1">
      <c r="A1726" s="123">
        <v>1436</v>
      </c>
      <c r="B1726" s="123"/>
      <c r="C1726" s="123"/>
      <c r="D1726" s="123"/>
      <c r="E1726" s="123"/>
      <c r="F1726" s="123"/>
      <c r="G1726" s="127" t="s">
        <v>406</v>
      </c>
      <c r="H1726" s="170">
        <v>2014</v>
      </c>
      <c r="I1726" s="170" t="s">
        <v>94</v>
      </c>
      <c r="J1726" s="128">
        <f t="shared" si="52"/>
        <v>3</v>
      </c>
      <c r="K1726" s="128" t="s">
        <v>3071</v>
      </c>
      <c r="L1726" s="128" t="s">
        <v>30</v>
      </c>
      <c r="M1726" s="129" t="s">
        <v>1065</v>
      </c>
      <c r="N1726" s="129" t="s">
        <v>28</v>
      </c>
      <c r="O1726" s="129" t="s">
        <v>28</v>
      </c>
      <c r="P1726" s="129" t="str">
        <f t="shared" si="53"/>
        <v>N/A</v>
      </c>
      <c r="Q1726" s="128" t="s">
        <v>3124</v>
      </c>
      <c r="R1726" s="128">
        <v>15.54</v>
      </c>
      <c r="S1726" s="130"/>
      <c r="T1726" s="130" t="s">
        <v>1051</v>
      </c>
      <c r="U1726" s="131"/>
    </row>
    <row r="1727" spans="1:21" ht="15.75" hidden="1" thickBot="1">
      <c r="A1727" s="123">
        <v>1436</v>
      </c>
      <c r="B1727" s="123"/>
      <c r="C1727" s="123"/>
      <c r="D1727" s="123"/>
      <c r="E1727" s="123"/>
      <c r="F1727" s="123"/>
      <c r="G1727" s="127" t="s">
        <v>406</v>
      </c>
      <c r="H1727" s="170">
        <v>2014</v>
      </c>
      <c r="I1727" s="170" t="s">
        <v>94</v>
      </c>
      <c r="J1727" s="128">
        <f t="shared" si="52"/>
        <v>3</v>
      </c>
      <c r="K1727" s="128" t="s">
        <v>411</v>
      </c>
      <c r="L1727" s="128" t="s">
        <v>40</v>
      </c>
      <c r="M1727" s="129" t="s">
        <v>31</v>
      </c>
      <c r="N1727" s="129" t="s">
        <v>32</v>
      </c>
      <c r="O1727" s="129" t="s">
        <v>28</v>
      </c>
      <c r="P1727" s="129" t="str">
        <f t="shared" si="53"/>
        <v>N/A</v>
      </c>
      <c r="Q1727" s="128" t="s">
        <v>3125</v>
      </c>
      <c r="R1727" s="128">
        <v>56.94</v>
      </c>
      <c r="S1727" s="128">
        <v>64.8</v>
      </c>
      <c r="T1727" s="130" t="s">
        <v>31</v>
      </c>
      <c r="U1727" s="131" t="s">
        <v>3125</v>
      </c>
    </row>
    <row r="1728" spans="1:21" ht="15.75" hidden="1" thickBot="1">
      <c r="A1728" s="123">
        <v>1437</v>
      </c>
      <c r="B1728" s="123"/>
      <c r="C1728" s="123"/>
      <c r="D1728" s="123"/>
      <c r="E1728" s="123"/>
      <c r="F1728" s="123"/>
      <c r="G1728" s="127" t="s">
        <v>406</v>
      </c>
      <c r="H1728" s="170">
        <v>2014</v>
      </c>
      <c r="I1728" s="170" t="s">
        <v>97</v>
      </c>
      <c r="J1728" s="128">
        <f t="shared" si="52"/>
        <v>3</v>
      </c>
      <c r="K1728" s="128" t="s">
        <v>412</v>
      </c>
      <c r="L1728" s="128" t="s">
        <v>40</v>
      </c>
      <c r="M1728" s="129" t="s">
        <v>31</v>
      </c>
      <c r="N1728" s="129" t="s">
        <v>32</v>
      </c>
      <c r="O1728" s="129" t="s">
        <v>28</v>
      </c>
      <c r="P1728" s="129" t="str">
        <f t="shared" si="53"/>
        <v>N/A</v>
      </c>
      <c r="Q1728" s="138" t="s">
        <v>3126</v>
      </c>
      <c r="R1728" s="128">
        <v>35.85</v>
      </c>
      <c r="S1728" s="128">
        <v>54.15</v>
      </c>
      <c r="T1728" s="130" t="s">
        <v>31</v>
      </c>
      <c r="U1728" s="135" t="s">
        <v>3070</v>
      </c>
    </row>
    <row r="1729" spans="1:21" ht="15.75" thickBot="1">
      <c r="A1729" s="123">
        <v>1437</v>
      </c>
      <c r="B1729" s="123"/>
      <c r="C1729" s="123"/>
      <c r="D1729" s="123"/>
      <c r="E1729" s="123"/>
      <c r="F1729" s="123"/>
      <c r="G1729" s="127" t="s">
        <v>406</v>
      </c>
      <c r="H1729" s="170">
        <v>2014</v>
      </c>
      <c r="I1729" s="170" t="s">
        <v>97</v>
      </c>
      <c r="J1729" s="128">
        <f t="shared" si="52"/>
        <v>3</v>
      </c>
      <c r="K1729" s="128" t="s">
        <v>3127</v>
      </c>
      <c r="L1729" s="128" t="s">
        <v>40</v>
      </c>
      <c r="M1729" s="129" t="s">
        <v>1003</v>
      </c>
      <c r="N1729" s="129" t="s">
        <v>28</v>
      </c>
      <c r="O1729" s="129" t="s">
        <v>32</v>
      </c>
      <c r="P1729" s="129" t="str">
        <f t="shared" si="53"/>
        <v>N</v>
      </c>
      <c r="Q1729" s="138" t="s">
        <v>3128</v>
      </c>
      <c r="R1729" s="128">
        <v>42.08</v>
      </c>
      <c r="S1729" s="128">
        <v>45.85</v>
      </c>
      <c r="T1729" s="130"/>
      <c r="U1729" s="131"/>
    </row>
    <row r="1730" spans="1:21" ht="15.75" hidden="1" thickBot="1">
      <c r="A1730" s="123">
        <v>1437</v>
      </c>
      <c r="B1730" s="123"/>
      <c r="C1730" s="123"/>
      <c r="D1730" s="123"/>
      <c r="E1730" s="123"/>
      <c r="F1730" s="123"/>
      <c r="G1730" s="127" t="s">
        <v>406</v>
      </c>
      <c r="H1730" s="170">
        <v>2014</v>
      </c>
      <c r="I1730" s="170" t="s">
        <v>97</v>
      </c>
      <c r="J1730" s="128">
        <f t="shared" si="52"/>
        <v>3</v>
      </c>
      <c r="K1730" s="128" t="s">
        <v>3053</v>
      </c>
      <c r="L1730" s="128" t="s">
        <v>30</v>
      </c>
      <c r="M1730" s="129" t="s">
        <v>31</v>
      </c>
      <c r="N1730" s="129" t="s">
        <v>28</v>
      </c>
      <c r="O1730" s="129" t="s">
        <v>28</v>
      </c>
      <c r="P1730" s="129" t="str">
        <f t="shared" si="53"/>
        <v>N/A</v>
      </c>
      <c r="Q1730" s="128" t="s">
        <v>3129</v>
      </c>
      <c r="R1730" s="128">
        <v>21.74</v>
      </c>
      <c r="S1730" s="130"/>
      <c r="T1730" s="130" t="s">
        <v>31</v>
      </c>
      <c r="U1730" s="131"/>
    </row>
    <row r="1731" spans="1:21" ht="15.75" thickBot="1">
      <c r="A1731" s="123"/>
      <c r="B1731" s="123"/>
      <c r="C1731" s="123"/>
      <c r="D1731" s="123"/>
      <c r="E1731" s="123"/>
      <c r="F1731" s="123"/>
      <c r="G1731" s="127"/>
      <c r="H1731" s="164"/>
      <c r="I1731" s="164"/>
      <c r="J1731" s="164"/>
      <c r="K1731" s="164"/>
      <c r="L1731" s="164"/>
      <c r="M1731" s="165"/>
      <c r="N1731" s="165"/>
      <c r="O1731" s="165"/>
      <c r="P1731" s="129" t="str">
        <f>IF(AND(O1731="Y", N1731="Y"), "Y", "")</f>
        <v/>
      </c>
      <c r="Q1731" s="164"/>
      <c r="R1731" s="164"/>
      <c r="S1731" s="164"/>
      <c r="T1731" s="164"/>
      <c r="U1731" s="123"/>
    </row>
  </sheetData>
  <autoFilter ref="A1:U1731">
    <filterColumn colId="15">
      <filters>
        <filter val="N"/>
      </filters>
    </filterColumn>
  </autoFilter>
  <hyperlinks>
    <hyperlink ref="Q257" r:id="rId1"/>
    <hyperlink ref="Q245" r:id="rId2"/>
    <hyperlink ref="Q248" r:id="rId3"/>
    <hyperlink ref="Q249" r:id="rId4"/>
    <hyperlink ref="Q154" r:id="rId5" location="#1676" display="http://www.berkeleydailyplanet.com/issue/2000-10-16/article/1676?headline=Diverse-ideas-for-District-2--Stories-by-Josh-Parr-Daily-Planet-staff-Judith-Sc - #1676"/>
    <hyperlink ref="Q443" r:id="rId6"/>
    <hyperlink ref="Q461" r:id="rId7" location=".VagdVJNViko" display="http://votersedge.org/california/2014/november/oakland/candidates/council-member-council-district-2/9818-ken-maxey - .VagdVJNViko"/>
    <hyperlink ref="Q468" r:id="rId8"/>
    <hyperlink ref="Q475" r:id="rId9"/>
    <hyperlink ref="Q477" r:id="rId10"/>
    <hyperlink ref="Q476" r:id="rId11"/>
    <hyperlink ref="Q479" r:id="rId12"/>
    <hyperlink ref="Q454" r:id="rId13"/>
    <hyperlink ref="Q458" r:id="rId14"/>
    <hyperlink ref="Q447" r:id="rId15"/>
    <hyperlink ref="Q467" r:id="rId16"/>
    <hyperlink ref="Q473" r:id="rId17"/>
    <hyperlink ref="Q481" r:id="rId18"/>
    <hyperlink ref="Q407" r:id="rId19"/>
    <hyperlink ref="Q408" r:id="rId20" display="http://web.archive.org/web/20130923185812/http:/www.janebrunner.com/"/>
    <hyperlink ref="Q410" r:id="rId21"/>
    <hyperlink ref="Q416" r:id="rId22"/>
    <hyperlink ref="Q419" r:id="rId23"/>
    <hyperlink ref="Q426" r:id="rId24"/>
    <hyperlink ref="Q435" r:id="rId25"/>
    <hyperlink ref="Q439" r:id="rId26"/>
    <hyperlink ref="Q421" r:id="rId27"/>
    <hyperlink ref="Q430" r:id="rId28"/>
    <hyperlink ref="Q431" r:id="rId29"/>
    <hyperlink ref="Q429" r:id="rId30"/>
    <hyperlink ref="Q437" r:id="rId31"/>
    <hyperlink ref="Q441" r:id="rId32"/>
    <hyperlink ref="Q442" r:id="rId33"/>
    <hyperlink ref="Q390" r:id="rId34"/>
    <hyperlink ref="Q392" r:id="rId35"/>
    <hyperlink ref="Q381" r:id="rId36"/>
    <hyperlink ref="Q393" r:id="rId37"/>
    <hyperlink ref="Q402" r:id="rId38"/>
    <hyperlink ref="Q401" r:id="rId39"/>
    <hyperlink ref="Q406" r:id="rId40"/>
    <hyperlink ref="Q358" r:id="rId41"/>
    <hyperlink ref="Q360" r:id="rId42"/>
    <hyperlink ref="Q365" r:id="rId43"/>
    <hyperlink ref="Q364" r:id="rId44"/>
    <hyperlink ref="Q372" r:id="rId45"/>
    <hyperlink ref="Q375" r:id="rId46"/>
    <hyperlink ref="Q343" r:id="rId47"/>
    <hyperlink ref="Q341" r:id="rId48"/>
    <hyperlink ref="Q336" r:id="rId49"/>
    <hyperlink ref="Q308" r:id="rId50"/>
    <hyperlink ref="Q264" r:id="rId51"/>
    <hyperlink ref="Q1480" r:id="rId52"/>
    <hyperlink ref="Q1484" r:id="rId53"/>
    <hyperlink ref="Q1486" r:id="rId54"/>
    <hyperlink ref="Q1478" r:id="rId55"/>
    <hyperlink ref="Q1476" r:id="rId56"/>
    <hyperlink ref="Q1477" r:id="rId57"/>
    <hyperlink ref="Q1468" r:id="rId58"/>
    <hyperlink ref="Q1466" r:id="rId59"/>
    <hyperlink ref="Q1469" r:id="rId60"/>
    <hyperlink ref="Q1474" r:id="rId61"/>
    <hyperlink ref="Q1462" r:id="rId62"/>
    <hyperlink ref="Q1461" r:id="rId63" location=".VrkLQfkrIdU" display="http://votersedge.org/california/2014/november/san-leandro/candidates/council-member-council-district-1/9848-david-l-anderson-sr - .VrkLQfkrIdU"/>
    <hyperlink ref="Q1454" r:id="rId64"/>
    <hyperlink ref="Q1456" r:id="rId65"/>
    <hyperlink ref="Q1447" r:id="rId66"/>
    <hyperlink ref="Q1452" r:id="rId67"/>
    <hyperlink ref="Q1450" r:id="rId68"/>
    <hyperlink ref="Q1437" r:id="rId69"/>
    <hyperlink ref="Q1442" r:id="rId70"/>
    <hyperlink ref="Q1129" r:id="rId71"/>
    <hyperlink ref="Q1128" r:id="rId72"/>
    <hyperlink ref="Q1127" r:id="rId73"/>
    <hyperlink ref="Q1113" r:id="rId74"/>
    <hyperlink ref="Q1114" r:id="rId75"/>
    <hyperlink ref="Q1119" r:id="rId76"/>
    <hyperlink ref="Q1117" r:id="rId77"/>
    <hyperlink ref="Q1124" r:id="rId78"/>
    <hyperlink ref="Q1107" r:id="rId79"/>
    <hyperlink ref="Q1082" r:id="rId80"/>
    <hyperlink ref="Q1106" r:id="rId81"/>
    <hyperlink ref="Q1086" r:id="rId82"/>
    <hyperlink ref="Q1092" r:id="rId83"/>
    <hyperlink ref="Q1093" r:id="rId84"/>
    <hyperlink ref="Q1087" r:id="rId85"/>
    <hyperlink ref="Q1089" r:id="rId86"/>
    <hyperlink ref="Q1102" r:id="rId87"/>
    <hyperlink ref="Q1099" r:id="rId88"/>
    <hyperlink ref="Q1105" r:id="rId89"/>
    <hyperlink ref="Q1062" r:id="rId90"/>
    <hyperlink ref="Q1076" r:id="rId91"/>
    <hyperlink ref="Q1074" r:id="rId92"/>
    <hyperlink ref="Q1072" r:id="rId93"/>
    <hyperlink ref="Q1079" r:id="rId94"/>
    <hyperlink ref="Q1059" r:id="rId95"/>
    <hyperlink ref="Q1039" r:id="rId96"/>
    <hyperlink ref="Q1012" r:id="rId97"/>
    <hyperlink ref="Q1014" r:id="rId98"/>
    <hyperlink ref="Q1016" r:id="rId99"/>
    <hyperlink ref="Q1026" r:id="rId100"/>
    <hyperlink ref="Q1018" r:id="rId101"/>
    <hyperlink ref="Q1025" r:id="rId102"/>
    <hyperlink ref="Q1017" r:id="rId103"/>
    <hyperlink ref="Q1028" r:id="rId104"/>
    <hyperlink ref="Q1020" r:id="rId105"/>
    <hyperlink ref="Q1032" r:id="rId106"/>
    <hyperlink ref="Q971" r:id="rId107"/>
    <hyperlink ref="Q1004" r:id="rId108"/>
    <hyperlink ref="Q982" r:id="rId109"/>
    <hyperlink ref="Q986" r:id="rId110"/>
    <hyperlink ref="Q991" r:id="rId111"/>
    <hyperlink ref="Q990" r:id="rId112"/>
    <hyperlink ref="Q997" r:id="rId113"/>
    <hyperlink ref="Q998" r:id="rId114"/>
    <hyperlink ref="Q964" r:id="rId115"/>
    <hyperlink ref="Q961" r:id="rId116"/>
    <hyperlink ref="Q963" r:id="rId117"/>
    <hyperlink ref="Q949" r:id="rId118"/>
    <hyperlink ref="Q924" r:id="rId119"/>
    <hyperlink ref="Q928" r:id="rId120"/>
    <hyperlink ref="Q927" r:id="rId121"/>
    <hyperlink ref="Q936" r:id="rId122"/>
    <hyperlink ref="Q939" r:id="rId123"/>
    <hyperlink ref="Q934" r:id="rId124"/>
    <hyperlink ref="Q852" r:id="rId125"/>
    <hyperlink ref="Q851" r:id="rId126"/>
    <hyperlink ref="Q853" r:id="rId127"/>
    <hyperlink ref="Q911" r:id="rId128"/>
    <hyperlink ref="Q863" r:id="rId129"/>
    <hyperlink ref="Q879" r:id="rId130"/>
    <hyperlink ref="Q872" r:id="rId131"/>
    <hyperlink ref="Q893" r:id="rId132"/>
    <hyperlink ref="Q889" r:id="rId133"/>
    <hyperlink ref="Q908" r:id="rId134"/>
    <hyperlink ref="Q837" r:id="rId135"/>
    <hyperlink ref="Q843" r:id="rId136"/>
    <hyperlink ref="Q840" r:id="rId137"/>
    <hyperlink ref="Q844" r:id="rId138"/>
    <hyperlink ref="Q850" r:id="rId139"/>
    <hyperlink ref="Q816" r:id="rId140"/>
    <hyperlink ref="Q818" r:id="rId141"/>
    <hyperlink ref="Q826" r:id="rId142"/>
    <hyperlink ref="Q807" r:id="rId143"/>
    <hyperlink ref="Q723" r:id="rId144"/>
    <hyperlink ref="Q791" r:id="rId145"/>
    <hyperlink ref="Q783" r:id="rId146"/>
    <hyperlink ref="Q782" r:id="rId147"/>
    <hyperlink ref="Q802" r:id="rId148"/>
    <hyperlink ref="Q798" r:id="rId149"/>
    <hyperlink ref="Q730" r:id="rId150"/>
    <hyperlink ref="Q743" r:id="rId151"/>
    <hyperlink ref="Q761" r:id="rId152"/>
    <hyperlink ref="Q760" r:id="rId153"/>
    <hyperlink ref="Q770" r:id="rId154"/>
    <hyperlink ref="Q769" r:id="rId155"/>
    <hyperlink ref="Q771" r:id="rId156"/>
    <hyperlink ref="Q776" r:id="rId157"/>
    <hyperlink ref="Q681" r:id="rId158"/>
    <hyperlink ref="Q666" r:id="rId159"/>
    <hyperlink ref="Q611" r:id="rId160"/>
    <hyperlink ref="Q605" r:id="rId161"/>
    <hyperlink ref="Q599" r:id="rId162"/>
    <hyperlink ref="Q595" r:id="rId163"/>
    <hyperlink ref="Q580" r:id="rId164"/>
    <hyperlink ref="Q63" r:id="rId165"/>
    <hyperlink ref="Q60" r:id="rId166"/>
    <hyperlink ref="Q55" r:id="rId167"/>
    <hyperlink ref="Q29" r:id="rId168"/>
    <hyperlink ref="Q4" r:id="rId169"/>
    <hyperlink ref="Q138" r:id="rId170" location="!about/ctvq" display="http://www.lucillekring.com/ - !about/ctvq"/>
    <hyperlink ref="Q119" r:id="rId171"/>
    <hyperlink ref="Q122" r:id="rId172"/>
    <hyperlink ref="Q128" r:id="rId173"/>
    <hyperlink ref="Q126" r:id="rId174"/>
    <hyperlink ref="Q130" r:id="rId175"/>
    <hyperlink ref="Q131" r:id="rId176"/>
    <hyperlink ref="Q108" r:id="rId177"/>
    <hyperlink ref="Q113" r:id="rId178"/>
    <hyperlink ref="Q97" r:id="rId179"/>
    <hyperlink ref="Q573" r:id="rId180"/>
    <hyperlink ref="Q566" r:id="rId181"/>
    <hyperlink ref="Q570" r:id="rId182"/>
    <hyperlink ref="Q563" r:id="rId183"/>
    <hyperlink ref="Q537" r:id="rId184"/>
    <hyperlink ref="Q1380" r:id="rId185"/>
    <hyperlink ref="Q1389" r:id="rId186"/>
    <hyperlink ref="Q1391" r:id="rId187"/>
    <hyperlink ref="Q1393" r:id="rId188"/>
    <hyperlink ref="Q1396" r:id="rId189"/>
    <hyperlink ref="Q1394" r:id="rId190"/>
    <hyperlink ref="Q1362" r:id="rId191"/>
    <hyperlink ref="Q1325" r:id="rId192"/>
    <hyperlink ref="Q1308" r:id="rId193"/>
    <hyperlink ref="Q1287" r:id="rId194"/>
    <hyperlink ref="Q1578" r:id="rId195"/>
    <hyperlink ref="Q1580" r:id="rId196"/>
    <hyperlink ref="Q1566" r:id="rId197"/>
    <hyperlink ref="Q1558" r:id="rId198"/>
    <hyperlink ref="Q1545" r:id="rId199"/>
    <hyperlink ref="Q1546" r:id="rId200"/>
    <hyperlink ref="Q1493" r:id="rId201"/>
    <hyperlink ref="Q1645" r:id="rId202"/>
    <hyperlink ref="Q1628" r:id="rId203"/>
    <hyperlink ref="Q1609" r:id="rId204"/>
    <hyperlink ref="Q1615" r:id="rId205"/>
    <hyperlink ref="Q1606" r:id="rId206"/>
    <hyperlink ref="Q1595" r:id="rId207"/>
    <hyperlink ref="Q1723" r:id="rId208"/>
    <hyperlink ref="Q1729" r:id="rId209"/>
    <hyperlink ref="Q1728" r:id="rId210"/>
    <hyperlink ref="Q1719" r:id="rId211"/>
    <hyperlink ref="Q1684" r:id="rId212"/>
    <hyperlink ref="Q1665" r:id="rId213"/>
    <hyperlink ref="Q1652" r:id="rId214"/>
    <hyperlink ref="U133" r:id="rId215" display="http://blogs.ocweekly.com/navelgazing/2010/03/duane_roberts_us_sentate_run.php"/>
  </hyperlinks>
  <pageMargins left="0.7" right="0.7" top="0.75" bottom="0.75" header="0.3" footer="0.3"/>
  <pageSetup orientation="portrait" r:id="rId2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zoomScale="110" zoomScaleNormal="110" workbookViewId="0">
      <selection activeCell="A7" sqref="A7"/>
    </sheetView>
  </sheetViews>
  <sheetFormatPr defaultRowHeight="12.75"/>
  <cols>
    <col min="1" max="1" width="12.5703125" customWidth="1"/>
    <col min="2" max="2" width="43" style="24" customWidth="1"/>
    <col min="3" max="3" width="186.7109375" style="29" customWidth="1"/>
    <col min="4" max="4" width="31.28515625" customWidth="1"/>
    <col min="5" max="5" width="46.7109375" customWidth="1"/>
  </cols>
  <sheetData>
    <row r="1" spans="1:5" s="40" customFormat="1" ht="24.75" customHeight="1" thickBot="1">
      <c r="A1" s="43" t="s">
        <v>617</v>
      </c>
      <c r="B1" s="43" t="s">
        <v>707</v>
      </c>
      <c r="C1" s="44" t="s">
        <v>508</v>
      </c>
      <c r="D1" s="43"/>
      <c r="E1" s="39"/>
    </row>
    <row r="2" spans="1:5" ht="15" thickTop="1">
      <c r="A2" s="30" t="s">
        <v>566</v>
      </c>
      <c r="B2" s="25" t="s">
        <v>551</v>
      </c>
      <c r="C2" s="29" t="s">
        <v>753</v>
      </c>
      <c r="D2" s="1"/>
    </row>
    <row r="3" spans="1:5" ht="14.25">
      <c r="A3" s="30" t="s">
        <v>567</v>
      </c>
      <c r="B3" s="26" t="s">
        <v>0</v>
      </c>
      <c r="C3" s="41" t="s">
        <v>619</v>
      </c>
      <c r="D3" s="1"/>
    </row>
    <row r="4" spans="1:5" ht="14.25">
      <c r="A4" s="30" t="s">
        <v>568</v>
      </c>
      <c r="B4" s="26" t="s">
        <v>1</v>
      </c>
      <c r="C4" s="29" t="s">
        <v>620</v>
      </c>
      <c r="D4" s="1"/>
    </row>
    <row r="5" spans="1:5" ht="14.25">
      <c r="A5" s="30" t="s">
        <v>569</v>
      </c>
      <c r="B5" s="26" t="s">
        <v>2</v>
      </c>
      <c r="C5" s="29" t="s">
        <v>621</v>
      </c>
      <c r="D5" s="1"/>
    </row>
    <row r="6" spans="1:5" ht="14.25">
      <c r="A6" s="30" t="s">
        <v>570</v>
      </c>
      <c r="B6" s="26" t="s">
        <v>3</v>
      </c>
      <c r="C6" s="29" t="s">
        <v>622</v>
      </c>
      <c r="D6" s="1"/>
    </row>
    <row r="7" spans="1:5" ht="25.5">
      <c r="A7" s="182" t="s">
        <v>459</v>
      </c>
      <c r="B7" s="25" t="s">
        <v>12</v>
      </c>
      <c r="C7" s="29" t="s">
        <v>781</v>
      </c>
      <c r="D7" s="1"/>
    </row>
    <row r="8" spans="1:5" ht="25.5">
      <c r="A8" s="30" t="s">
        <v>571</v>
      </c>
      <c r="B8" s="25" t="s">
        <v>515</v>
      </c>
      <c r="C8" s="29" t="s">
        <v>754</v>
      </c>
      <c r="D8" s="1"/>
    </row>
    <row r="9" spans="1:5" ht="14.25">
      <c r="A9" s="30" t="s">
        <v>572</v>
      </c>
      <c r="B9" s="25" t="s">
        <v>14</v>
      </c>
      <c r="C9" s="42" t="s">
        <v>770</v>
      </c>
      <c r="D9" s="1"/>
    </row>
    <row r="10" spans="1:5" ht="14.25">
      <c r="A10" s="30" t="s">
        <v>573</v>
      </c>
      <c r="B10" s="25" t="s">
        <v>759</v>
      </c>
      <c r="C10" s="29" t="s">
        <v>623</v>
      </c>
      <c r="D10" s="1"/>
    </row>
    <row r="11" spans="1:5" ht="14.25">
      <c r="A11" s="30" t="s">
        <v>574</v>
      </c>
      <c r="B11" s="25" t="s">
        <v>904</v>
      </c>
      <c r="C11" s="29" t="s">
        <v>624</v>
      </c>
      <c r="D11" s="1"/>
    </row>
    <row r="12" spans="1:5" ht="14.25">
      <c r="A12" s="30" t="s">
        <v>575</v>
      </c>
      <c r="B12" s="25" t="s">
        <v>760</v>
      </c>
      <c r="C12" s="29" t="s">
        <v>625</v>
      </c>
      <c r="D12" s="1"/>
    </row>
    <row r="13" spans="1:5" ht="14.25">
      <c r="A13" s="30" t="s">
        <v>576</v>
      </c>
      <c r="B13" s="25" t="s">
        <v>18</v>
      </c>
      <c r="C13" s="29" t="s">
        <v>626</v>
      </c>
      <c r="D13" s="1"/>
    </row>
    <row r="14" spans="1:5" ht="14.25">
      <c r="A14" s="30" t="s">
        <v>30</v>
      </c>
      <c r="B14" s="25" t="s">
        <v>767</v>
      </c>
      <c r="C14" s="29" t="s">
        <v>768</v>
      </c>
    </row>
    <row r="15" spans="1:5" ht="25.5">
      <c r="A15" s="30" t="s">
        <v>28</v>
      </c>
      <c r="B15" s="25" t="s">
        <v>514</v>
      </c>
      <c r="C15" s="29" t="s">
        <v>769</v>
      </c>
    </row>
    <row r="16" spans="1:5" ht="38.25">
      <c r="A16" s="30" t="s">
        <v>577</v>
      </c>
      <c r="B16" s="25" t="s">
        <v>501</v>
      </c>
      <c r="C16" s="29" t="s">
        <v>786</v>
      </c>
      <c r="D16" s="1"/>
    </row>
    <row r="17" spans="1:3" ht="14.25">
      <c r="A17" s="30" t="s">
        <v>578</v>
      </c>
      <c r="B17" s="25" t="s">
        <v>565</v>
      </c>
      <c r="C17" s="29" t="s">
        <v>630</v>
      </c>
    </row>
    <row r="18" spans="1:3" ht="25.5">
      <c r="A18" s="30" t="s">
        <v>579</v>
      </c>
      <c r="B18" s="25" t="s">
        <v>503</v>
      </c>
      <c r="C18" s="29" t="s">
        <v>628</v>
      </c>
    </row>
    <row r="19" spans="1:3" ht="25.5">
      <c r="A19" s="30" t="s">
        <v>581</v>
      </c>
      <c r="B19" s="25" t="s">
        <v>502</v>
      </c>
      <c r="C19" s="29" t="s">
        <v>627</v>
      </c>
    </row>
    <row r="20" spans="1:3" ht="25.5">
      <c r="A20" s="30" t="s">
        <v>580</v>
      </c>
      <c r="B20" s="25" t="s">
        <v>504</v>
      </c>
      <c r="C20" s="29" t="s">
        <v>629</v>
      </c>
    </row>
    <row r="21" spans="1:3" ht="25.5">
      <c r="A21" s="30" t="s">
        <v>582</v>
      </c>
      <c r="B21" s="25" t="s">
        <v>506</v>
      </c>
      <c r="C21" s="29" t="s">
        <v>631</v>
      </c>
    </row>
    <row r="22" spans="1:3" ht="28.5">
      <c r="A22" s="30" t="s">
        <v>583</v>
      </c>
      <c r="B22" s="25" t="s">
        <v>908</v>
      </c>
      <c r="C22" s="29" t="s">
        <v>775</v>
      </c>
    </row>
    <row r="23" spans="1:3" ht="28.5">
      <c r="A23" s="30" t="s">
        <v>584</v>
      </c>
      <c r="B23" s="25" t="s">
        <v>505</v>
      </c>
      <c r="C23" s="29" t="s">
        <v>632</v>
      </c>
    </row>
    <row r="24" spans="1:3" ht="28.5">
      <c r="A24" s="30" t="s">
        <v>585</v>
      </c>
      <c r="B24" s="25" t="s">
        <v>507</v>
      </c>
      <c r="C24" s="29" t="s">
        <v>633</v>
      </c>
    </row>
    <row r="25" spans="1:3" ht="14.25">
      <c r="A25" s="30" t="s">
        <v>586</v>
      </c>
      <c r="B25" s="25" t="s">
        <v>766</v>
      </c>
      <c r="C25" s="29" t="s">
        <v>634</v>
      </c>
    </row>
    <row r="26" spans="1:3" ht="38.25">
      <c r="A26" s="30" t="s">
        <v>32</v>
      </c>
      <c r="B26" s="25" t="s">
        <v>763</v>
      </c>
      <c r="C26" s="29" t="s">
        <v>635</v>
      </c>
    </row>
    <row r="27" spans="1:3" ht="14.25">
      <c r="A27" s="30" t="s">
        <v>587</v>
      </c>
      <c r="B27" s="25" t="s">
        <v>764</v>
      </c>
      <c r="C27" s="29" t="s">
        <v>636</v>
      </c>
    </row>
    <row r="28" spans="1:3" ht="14.25">
      <c r="A28" s="30" t="s">
        <v>588</v>
      </c>
      <c r="B28" s="25" t="s">
        <v>765</v>
      </c>
      <c r="C28" s="29" t="s">
        <v>637</v>
      </c>
    </row>
    <row r="29" spans="1:3" ht="25.5">
      <c r="A29" s="30" t="s">
        <v>589</v>
      </c>
      <c r="B29" s="25" t="s">
        <v>10</v>
      </c>
      <c r="C29" s="29" t="s">
        <v>638</v>
      </c>
    </row>
    <row r="30" spans="1:3" ht="14.25">
      <c r="A30" s="30" t="s">
        <v>590</v>
      </c>
      <c r="B30" s="25" t="s">
        <v>11</v>
      </c>
      <c r="C30" s="29" t="s">
        <v>639</v>
      </c>
    </row>
    <row r="31" spans="1:3" ht="28.5">
      <c r="A31" s="30" t="s">
        <v>591</v>
      </c>
      <c r="B31" s="25" t="s">
        <v>762</v>
      </c>
      <c r="C31" s="29" t="s">
        <v>640</v>
      </c>
    </row>
    <row r="32" spans="1:3" ht="14.25">
      <c r="A32" s="30" t="s">
        <v>592</v>
      </c>
      <c r="B32" s="25" t="s">
        <v>848</v>
      </c>
      <c r="C32" s="29" t="s">
        <v>641</v>
      </c>
    </row>
    <row r="33" spans="1:3" ht="28.5">
      <c r="A33" s="30" t="s">
        <v>593</v>
      </c>
      <c r="B33" s="25" t="s">
        <v>847</v>
      </c>
      <c r="C33" s="29" t="s">
        <v>642</v>
      </c>
    </row>
    <row r="34" spans="1:3" ht="28.5">
      <c r="A34" s="30" t="s">
        <v>594</v>
      </c>
      <c r="B34" s="25" t="s">
        <v>814</v>
      </c>
      <c r="C34" s="29" t="s">
        <v>643</v>
      </c>
    </row>
    <row r="35" spans="1:3" ht="28.5">
      <c r="A35" s="30" t="s">
        <v>595</v>
      </c>
      <c r="B35" s="25" t="s">
        <v>509</v>
      </c>
      <c r="C35" s="29" t="s">
        <v>644</v>
      </c>
    </row>
    <row r="36" spans="1:3" ht="38.25">
      <c r="A36" s="30" t="s">
        <v>596</v>
      </c>
      <c r="B36" s="25" t="s">
        <v>558</v>
      </c>
      <c r="C36" s="29" t="s">
        <v>645</v>
      </c>
    </row>
    <row r="37" spans="1:3" ht="28.5">
      <c r="A37" s="30" t="s">
        <v>597</v>
      </c>
      <c r="B37" s="25" t="s">
        <v>510</v>
      </c>
      <c r="C37" s="29" t="s">
        <v>646</v>
      </c>
    </row>
    <row r="38" spans="1:3" ht="28.5">
      <c r="A38" s="30" t="s">
        <v>598</v>
      </c>
      <c r="B38" s="25" t="s">
        <v>559</v>
      </c>
      <c r="C38" s="29" t="s">
        <v>647</v>
      </c>
    </row>
    <row r="39" spans="1:3" ht="25.5">
      <c r="A39" s="30" t="s">
        <v>599</v>
      </c>
      <c r="B39" s="25" t="s">
        <v>519</v>
      </c>
      <c r="C39" s="29" t="s">
        <v>648</v>
      </c>
    </row>
    <row r="40" spans="1:3" ht="14.25">
      <c r="A40" s="30" t="s">
        <v>600</v>
      </c>
      <c r="B40" s="25" t="s">
        <v>852</v>
      </c>
      <c r="C40" s="29" t="s">
        <v>649</v>
      </c>
    </row>
    <row r="41" spans="1:3" ht="38.25">
      <c r="A41" s="30" t="s">
        <v>601</v>
      </c>
      <c r="B41" s="25" t="s">
        <v>849</v>
      </c>
      <c r="C41" s="29" t="s">
        <v>755</v>
      </c>
    </row>
    <row r="42" spans="1:3" ht="25.5">
      <c r="A42" s="30" t="s">
        <v>602</v>
      </c>
      <c r="B42" s="25" t="s">
        <v>850</v>
      </c>
      <c r="C42" s="29" t="s">
        <v>757</v>
      </c>
    </row>
    <row r="43" spans="1:3" ht="25.5">
      <c r="A43" s="30" t="s">
        <v>603</v>
      </c>
      <c r="B43" s="25" t="s">
        <v>851</v>
      </c>
      <c r="C43" s="29" t="s">
        <v>756</v>
      </c>
    </row>
    <row r="44" spans="1:3" ht="28.5">
      <c r="A44" s="30" t="s">
        <v>604</v>
      </c>
      <c r="B44" s="25" t="s">
        <v>902</v>
      </c>
      <c r="C44" s="29" t="s">
        <v>900</v>
      </c>
    </row>
    <row r="45" spans="1:3" ht="28.5">
      <c r="A45" s="30" t="s">
        <v>605</v>
      </c>
      <c r="B45" s="25" t="s">
        <v>901</v>
      </c>
      <c r="C45" s="29" t="s">
        <v>899</v>
      </c>
    </row>
    <row r="46" spans="1:3" s="28" customFormat="1" ht="25.5">
      <c r="A46" s="30" t="s">
        <v>606</v>
      </c>
      <c r="B46" s="25" t="s">
        <v>897</v>
      </c>
      <c r="C46" s="41" t="s">
        <v>830</v>
      </c>
    </row>
    <row r="47" spans="1:3" ht="25.5">
      <c r="A47" s="30" t="s">
        <v>607</v>
      </c>
      <c r="B47" s="25" t="s">
        <v>898</v>
      </c>
      <c r="C47" s="41" t="s">
        <v>831</v>
      </c>
    </row>
    <row r="48" spans="1:3" ht="28.5">
      <c r="A48" s="30" t="s">
        <v>608</v>
      </c>
      <c r="B48" s="25" t="s">
        <v>801</v>
      </c>
      <c r="C48" s="29" t="s">
        <v>650</v>
      </c>
    </row>
    <row r="49" spans="1:4" ht="14.25">
      <c r="A49" s="30" t="s">
        <v>609</v>
      </c>
      <c r="B49" s="25" t="s">
        <v>802</v>
      </c>
      <c r="C49" s="29" t="s">
        <v>652</v>
      </c>
    </row>
    <row r="50" spans="1:4" ht="14.25">
      <c r="A50" s="30" t="s">
        <v>610</v>
      </c>
      <c r="B50" s="25" t="s">
        <v>6</v>
      </c>
      <c r="C50" s="29" t="s">
        <v>651</v>
      </c>
    </row>
    <row r="51" spans="1:4" ht="14.25">
      <c r="A51" s="30" t="s">
        <v>611</v>
      </c>
      <c r="B51" s="25" t="s">
        <v>805</v>
      </c>
      <c r="C51" s="29" t="s">
        <v>782</v>
      </c>
      <c r="D51" s="1"/>
    </row>
    <row r="52" spans="1:4" ht="14.25">
      <c r="A52" s="30" t="s">
        <v>612</v>
      </c>
      <c r="B52" s="25" t="s">
        <v>4</v>
      </c>
      <c r="C52" s="29" t="s">
        <v>773</v>
      </c>
      <c r="D52" s="1"/>
    </row>
    <row r="53" spans="1:4" ht="28.5">
      <c r="A53" s="30" t="s">
        <v>613</v>
      </c>
      <c r="B53" s="25" t="s">
        <v>5</v>
      </c>
      <c r="C53" s="29" t="s">
        <v>653</v>
      </c>
      <c r="D53" s="1"/>
    </row>
    <row r="54" spans="1:4" ht="14.25">
      <c r="A54" s="30" t="s">
        <v>614</v>
      </c>
      <c r="B54" s="25" t="s">
        <v>9</v>
      </c>
      <c r="C54" s="29" t="s">
        <v>832</v>
      </c>
      <c r="D54" s="1"/>
    </row>
    <row r="55" spans="1:4" ht="14.25">
      <c r="A55" s="30" t="s">
        <v>615</v>
      </c>
      <c r="B55" s="25" t="s">
        <v>816</v>
      </c>
      <c r="C55" s="29" t="s">
        <v>772</v>
      </c>
      <c r="D55" s="1"/>
    </row>
    <row r="56" spans="1:4" ht="14.25">
      <c r="A56" s="30" t="s">
        <v>616</v>
      </c>
      <c r="B56" s="25" t="s">
        <v>15</v>
      </c>
      <c r="C56" s="29" t="s">
        <v>654</v>
      </c>
      <c r="D56" s="1"/>
    </row>
    <row r="57" spans="1:4" ht="14.25">
      <c r="A57" s="30" t="s">
        <v>664</v>
      </c>
      <c r="B57" s="25" t="s">
        <v>16</v>
      </c>
      <c r="C57" s="29" t="s">
        <v>833</v>
      </c>
      <c r="D57" s="1"/>
    </row>
    <row r="58" spans="1:4" ht="14.25">
      <c r="A58" s="30" t="s">
        <v>665</v>
      </c>
      <c r="B58" s="25" t="s">
        <v>17</v>
      </c>
      <c r="C58" s="29" t="s">
        <v>834</v>
      </c>
      <c r="D58" s="1"/>
    </row>
    <row r="59" spans="1:4" ht="14.25">
      <c r="A59" s="30" t="s">
        <v>667</v>
      </c>
      <c r="B59" s="25" t="s">
        <v>815</v>
      </c>
      <c r="C59" s="29" t="s">
        <v>835</v>
      </c>
      <c r="D59" s="1"/>
    </row>
    <row r="60" spans="1:4" ht="28.5">
      <c r="A60" s="30" t="s">
        <v>668</v>
      </c>
      <c r="B60" s="25" t="s">
        <v>817</v>
      </c>
      <c r="C60" s="29" t="s">
        <v>837</v>
      </c>
      <c r="D60" s="1"/>
    </row>
    <row r="61" spans="1:4" ht="28.5">
      <c r="A61" s="30" t="s">
        <v>666</v>
      </c>
      <c r="B61" s="25" t="s">
        <v>853</v>
      </c>
      <c r="C61" s="29" t="s">
        <v>771</v>
      </c>
      <c r="D61" s="1"/>
    </row>
    <row r="62" spans="1:4" ht="14.25">
      <c r="A62" s="30" t="s">
        <v>669</v>
      </c>
      <c r="B62" s="25" t="s">
        <v>492</v>
      </c>
      <c r="C62" s="29" t="s">
        <v>836</v>
      </c>
    </row>
    <row r="63" spans="1:4" ht="14.25">
      <c r="A63" s="30" t="s">
        <v>672</v>
      </c>
      <c r="B63" s="25" t="s">
        <v>493</v>
      </c>
      <c r="C63" s="29" t="s">
        <v>655</v>
      </c>
    </row>
    <row r="64" spans="1:4" ht="14.25">
      <c r="A64" s="30" t="s">
        <v>673</v>
      </c>
      <c r="B64" s="25" t="s">
        <v>7</v>
      </c>
      <c r="C64" s="29" t="s">
        <v>829</v>
      </c>
    </row>
    <row r="65" spans="1:4" ht="14.25">
      <c r="A65" s="30" t="s">
        <v>674</v>
      </c>
      <c r="B65" s="25" t="s">
        <v>8</v>
      </c>
      <c r="C65" s="29" t="s">
        <v>656</v>
      </c>
    </row>
    <row r="66" spans="1:4" ht="14.25">
      <c r="A66" s="30" t="s">
        <v>676</v>
      </c>
      <c r="B66" s="25" t="s">
        <v>846</v>
      </c>
      <c r="C66" s="29" t="s">
        <v>657</v>
      </c>
    </row>
    <row r="67" spans="1:4" ht="28.5">
      <c r="A67" s="30" t="s">
        <v>675</v>
      </c>
      <c r="B67" s="25" t="s">
        <v>909</v>
      </c>
      <c r="C67" s="29" t="s">
        <v>911</v>
      </c>
    </row>
    <row r="68" spans="1:4" ht="28.5">
      <c r="A68" s="30" t="s">
        <v>677</v>
      </c>
      <c r="B68" s="25" t="s">
        <v>910</v>
      </c>
      <c r="C68" s="29" t="s">
        <v>828</v>
      </c>
    </row>
    <row r="69" spans="1:4" ht="14.25">
      <c r="A69" s="30" t="s">
        <v>679</v>
      </c>
      <c r="B69" s="25" t="s">
        <v>549</v>
      </c>
      <c r="C69" s="29" t="s">
        <v>838</v>
      </c>
    </row>
    <row r="70" spans="1:4" ht="14.25">
      <c r="A70" s="30" t="s">
        <v>680</v>
      </c>
      <c r="B70" s="25" t="s">
        <v>550</v>
      </c>
      <c r="C70" s="29" t="s">
        <v>839</v>
      </c>
    </row>
    <row r="71" spans="1:4" ht="28.5">
      <c r="A71" s="30" t="s">
        <v>670</v>
      </c>
      <c r="B71" s="25" t="s">
        <v>517</v>
      </c>
      <c r="C71" s="29" t="s">
        <v>658</v>
      </c>
    </row>
    <row r="72" spans="1:4" ht="14.25">
      <c r="A72" s="30" t="s">
        <v>681</v>
      </c>
      <c r="B72" s="25" t="s">
        <v>826</v>
      </c>
      <c r="C72" s="29" t="s">
        <v>659</v>
      </c>
    </row>
    <row r="73" spans="1:4" ht="28.5">
      <c r="A73" s="30" t="s">
        <v>671</v>
      </c>
      <c r="B73" s="25" t="s">
        <v>818</v>
      </c>
      <c r="C73" s="29" t="s">
        <v>660</v>
      </c>
    </row>
    <row r="74" spans="1:4" ht="14.25">
      <c r="A74" s="30" t="s">
        <v>678</v>
      </c>
      <c r="B74" s="25" t="s">
        <v>819</v>
      </c>
      <c r="C74" s="29" t="s">
        <v>661</v>
      </c>
    </row>
    <row r="75" spans="1:4" ht="14.25">
      <c r="A75" s="30" t="s">
        <v>682</v>
      </c>
      <c r="B75" s="25" t="s">
        <v>821</v>
      </c>
      <c r="C75" s="29" t="s">
        <v>662</v>
      </c>
    </row>
    <row r="76" spans="1:4" ht="25.5">
      <c r="A76" s="30" t="s">
        <v>683</v>
      </c>
      <c r="B76" s="25" t="s">
        <v>820</v>
      </c>
      <c r="C76" s="41" t="s">
        <v>663</v>
      </c>
    </row>
    <row r="77" spans="1:4" ht="28.5">
      <c r="A77" s="30" t="s">
        <v>684</v>
      </c>
      <c r="B77" s="25" t="s">
        <v>840</v>
      </c>
      <c r="C77" s="29" t="s">
        <v>689</v>
      </c>
    </row>
    <row r="78" spans="1:4" ht="14.25">
      <c r="A78" s="30" t="s">
        <v>685</v>
      </c>
      <c r="B78" s="25" t="s">
        <v>807</v>
      </c>
      <c r="C78" s="29" t="s">
        <v>690</v>
      </c>
      <c r="D78" s="1"/>
    </row>
    <row r="79" spans="1:4" ht="25.5">
      <c r="A79" s="30" t="s">
        <v>686</v>
      </c>
      <c r="B79" s="25" t="s">
        <v>522</v>
      </c>
      <c r="C79" s="29" t="s">
        <v>691</v>
      </c>
    </row>
    <row r="80" spans="1:4" ht="28.5">
      <c r="A80" s="30" t="s">
        <v>435</v>
      </c>
      <c r="B80" s="25" t="s">
        <v>518</v>
      </c>
      <c r="C80" s="29" t="s">
        <v>692</v>
      </c>
    </row>
    <row r="81" spans="1:3" ht="14.25">
      <c r="A81" s="30" t="s">
        <v>687</v>
      </c>
      <c r="B81" s="25" t="s">
        <v>825</v>
      </c>
      <c r="C81" s="29" t="s">
        <v>693</v>
      </c>
    </row>
    <row r="82" spans="1:3" ht="14.25">
      <c r="A82" s="30" t="s">
        <v>688</v>
      </c>
      <c r="B82" s="25" t="s">
        <v>824</v>
      </c>
      <c r="C82" s="29" t="s">
        <v>694</v>
      </c>
    </row>
    <row r="83" spans="1:3" ht="14.25">
      <c r="A83" s="30" t="s">
        <v>696</v>
      </c>
      <c r="B83" s="25" t="s">
        <v>823</v>
      </c>
      <c r="C83" s="29" t="s">
        <v>695</v>
      </c>
    </row>
    <row r="84" spans="1:3" ht="14.25">
      <c r="A84" s="30" t="s">
        <v>697</v>
      </c>
      <c r="B84" s="25" t="s">
        <v>822</v>
      </c>
      <c r="C84" s="29" t="s">
        <v>699</v>
      </c>
    </row>
    <row r="85" spans="1:3" ht="14.25">
      <c r="A85" s="30" t="s">
        <v>698</v>
      </c>
      <c r="B85" s="25" t="s">
        <v>812</v>
      </c>
      <c r="C85" s="29" t="s">
        <v>700</v>
      </c>
    </row>
    <row r="86" spans="1:3" ht="28.5">
      <c r="A86" s="30" t="s">
        <v>708</v>
      </c>
      <c r="B86" s="25" t="s">
        <v>750</v>
      </c>
      <c r="C86" s="29" t="s">
        <v>701</v>
      </c>
    </row>
    <row r="87" spans="1:3" ht="14.25">
      <c r="A87" s="30" t="s">
        <v>709</v>
      </c>
      <c r="B87" s="25" t="s">
        <v>808</v>
      </c>
      <c r="C87" s="29" t="s">
        <v>704</v>
      </c>
    </row>
    <row r="88" spans="1:3" ht="14.25">
      <c r="A88" s="30" t="s">
        <v>710</v>
      </c>
      <c r="B88" s="25" t="s">
        <v>809</v>
      </c>
      <c r="C88" s="29" t="s">
        <v>703</v>
      </c>
    </row>
    <row r="89" spans="1:3" ht="28.5">
      <c r="A89" s="30" t="s">
        <v>711</v>
      </c>
      <c r="B89" s="25" t="s">
        <v>810</v>
      </c>
      <c r="C89" s="29" t="s">
        <v>751</v>
      </c>
    </row>
    <row r="90" spans="1:3" ht="14.25">
      <c r="A90" s="30" t="s">
        <v>712</v>
      </c>
      <c r="B90" s="25" t="s">
        <v>843</v>
      </c>
      <c r="C90" s="29" t="s">
        <v>844</v>
      </c>
    </row>
    <row r="91" spans="1:3" ht="14.25">
      <c r="A91" s="30" t="s">
        <v>713</v>
      </c>
      <c r="B91" s="25" t="s">
        <v>774</v>
      </c>
      <c r="C91" s="29" t="s">
        <v>702</v>
      </c>
    </row>
    <row r="92" spans="1:3" ht="28.5">
      <c r="A92" s="30" t="s">
        <v>714</v>
      </c>
      <c r="B92" s="25" t="s">
        <v>811</v>
      </c>
      <c r="C92" s="29" t="s">
        <v>842</v>
      </c>
    </row>
    <row r="93" spans="1:3" ht="28.5">
      <c r="A93" s="30" t="s">
        <v>715</v>
      </c>
      <c r="B93" s="25" t="s">
        <v>752</v>
      </c>
      <c r="C93" s="29" t="s">
        <v>705</v>
      </c>
    </row>
    <row r="94" spans="1:3" ht="28.5">
      <c r="A94" s="30" t="s">
        <v>716</v>
      </c>
      <c r="B94" s="25" t="s">
        <v>906</v>
      </c>
      <c r="C94" s="29" t="s">
        <v>706</v>
      </c>
    </row>
  </sheetData>
  <customSheetViews>
    <customSheetView guid="{D8951DEB-B32B-42EA-9BCF-73D58A896691}" scale="110">
      <selection activeCell="D6" sqref="D6"/>
      <pageMargins left="0.7" right="0.7" top="0.75" bottom="0.75" header="0.3" footer="0.3"/>
      <pageSetup orientation="portrait" verticalDpi="0" r:id="rId1"/>
    </customSheetView>
    <customSheetView guid="{97F96FCD-F19A-48DF-8C23-B7E50D615861}" scale="110">
      <selection activeCell="D6" sqref="D6"/>
      <pageMargins left="0.7" right="0.7" top="0.75" bottom="0.75" header="0.3" footer="0.3"/>
      <pageSetup orientation="portrait" verticalDpi="0" r:id="rId2"/>
    </customSheetView>
    <customSheetView guid="{67B9C401-7108-477F-9706-029D4DBE6AC8}" scale="110" topLeftCell="A19">
      <selection activeCell="D23" sqref="D23"/>
      <pageMargins left="0.7" right="0.7" top="0.75" bottom="0.75" header="0.3" footer="0.3"/>
      <pageSetup orientation="portrait" verticalDpi="0" r:id="rId3"/>
    </customSheetView>
    <customSheetView guid="{6094A005-24DC-49A4-B578-0723EAB6A929}" scale="110">
      <selection activeCell="C17" sqref="C17"/>
      <pageMargins left="0.7" right="0.7" top="0.75" bottom="0.75" header="0.3" footer="0.3"/>
      <pageSetup orientation="portrait" verticalDpi="0" r:id="rId4"/>
    </customSheetView>
  </customSheetViews>
  <hyperlinks>
    <hyperlink ref="A7" r:id="rId5"/>
  </hyperlinks>
  <pageMargins left="0.7" right="0.7" top="0.75" bottom="0.75" header="0.3" footer="0.3"/>
  <pageSetup orientation="portrait" verticalDpi="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opLeftCell="A34" workbookViewId="0">
      <selection activeCell="B28" sqref="B28"/>
    </sheetView>
  </sheetViews>
  <sheetFormatPr defaultColWidth="14.42578125" defaultRowHeight="15.75" customHeight="1"/>
  <cols>
    <col min="1" max="1" width="38.140625" style="183" customWidth="1"/>
    <col min="2" max="4" width="14.42578125" style="183"/>
    <col min="5" max="5" width="39.7109375" style="183" customWidth="1"/>
    <col min="6" max="16384" width="14.42578125" style="183"/>
  </cols>
  <sheetData>
    <row r="1" spans="1:5" ht="15.75" customHeight="1">
      <c r="A1" s="192" t="s">
        <v>433</v>
      </c>
    </row>
    <row r="4" spans="1:5" ht="15">
      <c r="A4" s="201" t="s">
        <v>434</v>
      </c>
      <c r="B4" s="201" t="s">
        <v>435</v>
      </c>
      <c r="C4" s="201" t="s">
        <v>436</v>
      </c>
      <c r="D4" s="201" t="s">
        <v>3148</v>
      </c>
      <c r="E4" s="201" t="s">
        <v>437</v>
      </c>
    </row>
    <row r="5" spans="1:5" ht="15">
      <c r="A5" s="201" t="s">
        <v>331</v>
      </c>
      <c r="B5" s="201" t="s">
        <v>435</v>
      </c>
      <c r="C5" s="201" t="s">
        <v>436</v>
      </c>
      <c r="D5" s="201" t="s">
        <v>3149</v>
      </c>
      <c r="E5" s="201" t="s">
        <v>438</v>
      </c>
    </row>
    <row r="6" spans="1:5" ht="15">
      <c r="A6" s="201" t="s">
        <v>69</v>
      </c>
      <c r="B6" s="201" t="s">
        <v>435</v>
      </c>
      <c r="C6" s="201" t="s">
        <v>436</v>
      </c>
      <c r="D6" s="201" t="s">
        <v>3149</v>
      </c>
      <c r="E6" s="201" t="s">
        <v>438</v>
      </c>
    </row>
    <row r="7" spans="1:5" ht="15">
      <c r="A7" s="201" t="s">
        <v>110</v>
      </c>
      <c r="B7" s="201" t="s">
        <v>435</v>
      </c>
      <c r="C7" s="201" t="s">
        <v>436</v>
      </c>
      <c r="D7" s="201" t="s">
        <v>3149</v>
      </c>
      <c r="E7" s="201" t="s">
        <v>438</v>
      </c>
    </row>
    <row r="8" spans="1:5" ht="15.75" customHeight="1">
      <c r="A8" s="203"/>
      <c r="B8" s="203"/>
      <c r="C8" s="203"/>
      <c r="D8" s="203"/>
      <c r="E8" s="203"/>
    </row>
    <row r="9" spans="1:5">
      <c r="A9" s="202" t="s">
        <v>20</v>
      </c>
      <c r="B9" s="201" t="s">
        <v>435</v>
      </c>
      <c r="C9" s="201" t="s">
        <v>439</v>
      </c>
      <c r="D9" s="201" t="s">
        <v>3149</v>
      </c>
      <c r="E9" s="201" t="s">
        <v>438</v>
      </c>
    </row>
    <row r="10" spans="1:5">
      <c r="A10" s="202" t="s">
        <v>292</v>
      </c>
      <c r="B10" s="201" t="s">
        <v>435</v>
      </c>
      <c r="C10" s="201" t="s">
        <v>439</v>
      </c>
      <c r="D10" s="201" t="s">
        <v>3150</v>
      </c>
      <c r="E10" s="201" t="s">
        <v>440</v>
      </c>
    </row>
    <row r="11" spans="1:5">
      <c r="A11" s="202" t="s">
        <v>384</v>
      </c>
      <c r="B11" s="201" t="s">
        <v>435</v>
      </c>
      <c r="C11" s="201" t="s">
        <v>439</v>
      </c>
      <c r="D11" s="201" t="s">
        <v>3149</v>
      </c>
      <c r="E11" s="201" t="s">
        <v>441</v>
      </c>
    </row>
    <row r="12" spans="1:5">
      <c r="A12" s="202" t="s">
        <v>52</v>
      </c>
      <c r="B12" s="201" t="s">
        <v>435</v>
      </c>
      <c r="C12" s="201" t="s">
        <v>439</v>
      </c>
      <c r="D12" s="201" t="s">
        <v>3149</v>
      </c>
      <c r="E12" s="201" t="s">
        <v>442</v>
      </c>
    </row>
    <row r="13" spans="1:5">
      <c r="A13" s="202" t="s">
        <v>357</v>
      </c>
      <c r="B13" s="201" t="s">
        <v>435</v>
      </c>
      <c r="C13" s="201" t="s">
        <v>439</v>
      </c>
      <c r="D13" s="201" t="s">
        <v>3149</v>
      </c>
      <c r="E13" s="201" t="s">
        <v>442</v>
      </c>
    </row>
    <row r="14" spans="1:5">
      <c r="A14" s="202" t="s">
        <v>406</v>
      </c>
      <c r="B14" s="201" t="s">
        <v>435</v>
      </c>
      <c r="C14" s="201" t="s">
        <v>439</v>
      </c>
      <c r="D14" s="201" t="s">
        <v>3149</v>
      </c>
      <c r="E14" s="201" t="s">
        <v>443</v>
      </c>
    </row>
    <row r="15" spans="1:5">
      <c r="A15" s="202" t="s">
        <v>177</v>
      </c>
      <c r="B15" s="201" t="s">
        <v>435</v>
      </c>
      <c r="C15" s="201" t="s">
        <v>439</v>
      </c>
      <c r="D15" s="201" t="s">
        <v>3149</v>
      </c>
      <c r="E15" s="201" t="s">
        <v>444</v>
      </c>
    </row>
    <row r="18" spans="1:8" ht="15.75" customHeight="1">
      <c r="A18" s="212" t="s">
        <v>445</v>
      </c>
      <c r="B18" s="213"/>
      <c r="C18" s="213"/>
      <c r="D18" s="213"/>
      <c r="E18" s="213"/>
      <c r="F18" s="213"/>
      <c r="G18" s="213"/>
    </row>
    <row r="22" spans="1:8" ht="15.75" customHeight="1">
      <c r="A22" s="192" t="s">
        <v>13</v>
      </c>
      <c r="B22" s="192" t="s">
        <v>446</v>
      </c>
      <c r="C22" s="193" t="s">
        <v>447</v>
      </c>
      <c r="D22" s="200" t="s">
        <v>448</v>
      </c>
    </row>
    <row r="23" spans="1:8" ht="15.75" customHeight="1">
      <c r="B23" s="192" t="s">
        <v>20</v>
      </c>
      <c r="C23" s="193" t="s">
        <v>449</v>
      </c>
      <c r="G23" s="192" t="s">
        <v>384</v>
      </c>
      <c r="H23" s="193" t="s">
        <v>450</v>
      </c>
    </row>
    <row r="24" spans="1:8" ht="15.75" customHeight="1">
      <c r="B24" s="192" t="s">
        <v>451</v>
      </c>
      <c r="C24" s="193" t="s">
        <v>452</v>
      </c>
    </row>
    <row r="25" spans="1:8" ht="15.75" customHeight="1">
      <c r="B25" s="192" t="s">
        <v>177</v>
      </c>
      <c r="C25" s="193" t="s">
        <v>453</v>
      </c>
    </row>
    <row r="26" spans="1:8" ht="15.75" customHeight="1">
      <c r="B26" s="192" t="s">
        <v>406</v>
      </c>
      <c r="C26" s="193" t="s">
        <v>454</v>
      </c>
    </row>
    <row r="27" spans="1:8" ht="15.75" customHeight="1">
      <c r="B27" s="192" t="s">
        <v>331</v>
      </c>
      <c r="C27" s="192" t="s">
        <v>455</v>
      </c>
      <c r="D27" s="192" t="s">
        <v>456</v>
      </c>
      <c r="E27" s="193" t="s">
        <v>457</v>
      </c>
    </row>
    <row r="28" spans="1:8" ht="15.75" customHeight="1">
      <c r="A28" s="192" t="s">
        <v>458</v>
      </c>
      <c r="B28" s="193" t="s">
        <v>459</v>
      </c>
      <c r="C28" s="192" t="s">
        <v>460</v>
      </c>
      <c r="F28" s="192" t="s">
        <v>461</v>
      </c>
      <c r="G28" s="193" t="s">
        <v>462</v>
      </c>
    </row>
    <row r="29" spans="1:8" ht="15.75" customHeight="1">
      <c r="B29" s="192" t="s">
        <v>463</v>
      </c>
      <c r="C29" s="193" t="s">
        <v>464</v>
      </c>
      <c r="F29" s="192" t="s">
        <v>446</v>
      </c>
      <c r="G29" s="193" t="s">
        <v>465</v>
      </c>
    </row>
    <row r="30" spans="1:8" ht="15.75" customHeight="1">
      <c r="B30" s="192" t="s">
        <v>466</v>
      </c>
      <c r="C30" s="192" t="s">
        <v>467</v>
      </c>
      <c r="G30" s="193" t="s">
        <v>468</v>
      </c>
    </row>
    <row r="31" spans="1:8" ht="15.75" customHeight="1">
      <c r="B31" s="192" t="s">
        <v>406</v>
      </c>
      <c r="C31" s="193" t="s">
        <v>454</v>
      </c>
      <c r="F31" s="192" t="s">
        <v>469</v>
      </c>
      <c r="G31" s="193" t="s">
        <v>470</v>
      </c>
    </row>
    <row r="32" spans="1:8" ht="15.75" customHeight="1">
      <c r="B32" s="192" t="s">
        <v>471</v>
      </c>
      <c r="C32" s="193" t="s">
        <v>472</v>
      </c>
    </row>
    <row r="33" spans="1:10" ht="15.75" customHeight="1">
      <c r="A33" s="192" t="s">
        <v>473</v>
      </c>
      <c r="B33" s="192" t="s">
        <v>474</v>
      </c>
      <c r="C33" s="193" t="s">
        <v>475</v>
      </c>
      <c r="D33" s="193" t="s">
        <v>476</v>
      </c>
    </row>
    <row r="34" spans="1:10">
      <c r="B34" s="192" t="s">
        <v>52</v>
      </c>
      <c r="C34" s="199" t="s">
        <v>477</v>
      </c>
      <c r="D34" s="192" t="s">
        <v>478</v>
      </c>
      <c r="I34" s="188" t="s">
        <v>497</v>
      </c>
      <c r="J34" s="188" t="s">
        <v>499</v>
      </c>
    </row>
    <row r="35" spans="1:10" ht="15">
      <c r="B35" s="192" t="s">
        <v>479</v>
      </c>
      <c r="C35" s="198" t="s">
        <v>480</v>
      </c>
      <c r="J35" s="197" t="s">
        <v>498</v>
      </c>
    </row>
    <row r="36" spans="1:10" ht="15.75" customHeight="1">
      <c r="J36" s="196" t="s">
        <v>500</v>
      </c>
    </row>
    <row r="37" spans="1:10" ht="15.75" customHeight="1">
      <c r="A37" s="192" t="s">
        <v>481</v>
      </c>
      <c r="B37" s="192" t="s">
        <v>110</v>
      </c>
      <c r="C37" s="192" t="s">
        <v>482</v>
      </c>
      <c r="E37" s="193" t="s">
        <v>483</v>
      </c>
      <c r="F37" s="193" t="s">
        <v>484</v>
      </c>
      <c r="J37" s="183" t="s">
        <v>212</v>
      </c>
    </row>
    <row r="38" spans="1:10" ht="14.25">
      <c r="B38" s="193" t="s">
        <v>485</v>
      </c>
      <c r="J38" s="195" t="s">
        <v>407</v>
      </c>
    </row>
    <row r="39" spans="1:10" ht="19.5">
      <c r="B39" s="192" t="s">
        <v>177</v>
      </c>
      <c r="C39" s="194" t="s">
        <v>486</v>
      </c>
      <c r="F39" s="183" t="s">
        <v>488</v>
      </c>
    </row>
    <row r="40" spans="1:10" ht="12.75">
      <c r="B40" s="192" t="s">
        <v>210</v>
      </c>
      <c r="C40" s="193" t="s">
        <v>487</v>
      </c>
      <c r="F40" s="183" t="s">
        <v>292</v>
      </c>
      <c r="G40" s="183" t="s">
        <v>555</v>
      </c>
    </row>
    <row r="41" spans="1:10" ht="15.75" customHeight="1">
      <c r="A41" s="183" t="s">
        <v>249</v>
      </c>
      <c r="B41" s="192" t="s">
        <v>69</v>
      </c>
      <c r="C41" s="23" t="s">
        <v>552</v>
      </c>
      <c r="F41" s="183" t="s">
        <v>406</v>
      </c>
      <c r="G41" s="183" t="s">
        <v>554</v>
      </c>
    </row>
    <row r="42" spans="1:10" ht="15.75" customHeight="1">
      <c r="C42" s="183" t="s">
        <v>556</v>
      </c>
      <c r="G42" s="183" t="s">
        <v>553</v>
      </c>
    </row>
    <row r="43" spans="1:10" ht="15.75" customHeight="1">
      <c r="A43" s="188" t="s">
        <v>523</v>
      </c>
      <c r="B43" s="188" t="s">
        <v>548</v>
      </c>
    </row>
    <row r="44" spans="1:10" ht="15.75" customHeight="1">
      <c r="B44" s="188" t="s">
        <v>524</v>
      </c>
    </row>
    <row r="45" spans="1:10" ht="15.75" customHeight="1">
      <c r="A45" s="188" t="s">
        <v>525</v>
      </c>
      <c r="B45" s="188" t="s">
        <v>526</v>
      </c>
    </row>
    <row r="46" spans="1:10" ht="15.75" customHeight="1">
      <c r="B46" s="188" t="s">
        <v>527</v>
      </c>
    </row>
    <row r="47" spans="1:10" ht="15.75" customHeight="1">
      <c r="A47" s="188" t="s">
        <v>528</v>
      </c>
      <c r="B47" s="188" t="s">
        <v>529</v>
      </c>
    </row>
    <row r="48" spans="1:10" ht="15.75" customHeight="1">
      <c r="B48" s="188" t="s">
        <v>530</v>
      </c>
      <c r="E48" s="183" t="s">
        <v>717</v>
      </c>
    </row>
    <row r="49" spans="1:9" ht="15.75" customHeight="1">
      <c r="A49" s="188" t="s">
        <v>531</v>
      </c>
      <c r="B49" s="188" t="s">
        <v>532</v>
      </c>
    </row>
    <row r="50" spans="1:9" ht="15.75" customHeight="1" thickBot="1">
      <c r="B50" s="188" t="s">
        <v>533</v>
      </c>
    </row>
    <row r="51" spans="1:9" ht="15.75" customHeight="1" thickBot="1">
      <c r="A51" s="188" t="s">
        <v>534</v>
      </c>
      <c r="B51" s="189" t="s">
        <v>535</v>
      </c>
      <c r="E51" s="188" t="s">
        <v>742</v>
      </c>
    </row>
    <row r="52" spans="1:9" ht="15.75" customHeight="1" thickBot="1">
      <c r="B52" s="189" t="s">
        <v>536</v>
      </c>
      <c r="E52" s="191" t="s">
        <v>731</v>
      </c>
      <c r="H52" s="186" t="s">
        <v>718</v>
      </c>
    </row>
    <row r="53" spans="1:9" ht="15.75" customHeight="1" thickBot="1">
      <c r="A53" s="188" t="s">
        <v>537</v>
      </c>
      <c r="B53" s="189" t="s">
        <v>538</v>
      </c>
      <c r="E53" s="31" t="s">
        <v>732</v>
      </c>
      <c r="H53" s="183" t="s">
        <v>719</v>
      </c>
      <c r="I53" s="183" t="s">
        <v>720</v>
      </c>
    </row>
    <row r="54" spans="1:9" ht="15.75" customHeight="1" thickBot="1">
      <c r="A54" s="190" t="s">
        <v>539</v>
      </c>
      <c r="B54" s="189" t="s">
        <v>538</v>
      </c>
      <c r="E54" s="184" t="s">
        <v>733</v>
      </c>
      <c r="H54" s="183" t="s">
        <v>721</v>
      </c>
      <c r="I54" s="183" t="s">
        <v>728</v>
      </c>
    </row>
    <row r="55" spans="1:9" ht="15.75" customHeight="1">
      <c r="B55" s="187" t="s">
        <v>540</v>
      </c>
      <c r="E55" s="31" t="s">
        <v>734</v>
      </c>
      <c r="H55" s="183" t="s">
        <v>722</v>
      </c>
      <c r="I55" s="183">
        <v>2008</v>
      </c>
    </row>
    <row r="56" spans="1:9" ht="15.75" customHeight="1">
      <c r="A56" s="188" t="s">
        <v>541</v>
      </c>
      <c r="B56" s="187" t="s">
        <v>542</v>
      </c>
      <c r="E56" s="185"/>
      <c r="H56" s="183" t="s">
        <v>723</v>
      </c>
      <c r="I56" s="183">
        <v>2009</v>
      </c>
    </row>
    <row r="57" spans="1:9" ht="15.75" customHeight="1">
      <c r="B57" s="187" t="s">
        <v>543</v>
      </c>
      <c r="E57" s="184" t="s">
        <v>735</v>
      </c>
      <c r="H57" s="183" t="s">
        <v>724</v>
      </c>
      <c r="I57" s="183">
        <v>2010</v>
      </c>
    </row>
    <row r="58" spans="1:9" ht="15.75" customHeight="1">
      <c r="A58" s="188" t="s">
        <v>544</v>
      </c>
      <c r="B58" s="187" t="s">
        <v>542</v>
      </c>
      <c r="E58" s="31" t="s">
        <v>736</v>
      </c>
      <c r="H58" s="183" t="s">
        <v>725</v>
      </c>
      <c r="I58" s="183">
        <v>2011</v>
      </c>
    </row>
    <row r="59" spans="1:9" ht="15.75" customHeight="1">
      <c r="B59" s="187" t="s">
        <v>545</v>
      </c>
      <c r="E59" s="185"/>
      <c r="H59" s="183" t="s">
        <v>726</v>
      </c>
      <c r="I59" s="183" t="s">
        <v>727</v>
      </c>
    </row>
    <row r="60" spans="1:9" ht="15.75" customHeight="1">
      <c r="A60" s="188" t="s">
        <v>546</v>
      </c>
      <c r="B60" s="187" t="s">
        <v>547</v>
      </c>
      <c r="E60" s="184" t="s">
        <v>737</v>
      </c>
    </row>
    <row r="61" spans="1:9" ht="15.75" customHeight="1">
      <c r="B61" s="187" t="s">
        <v>540</v>
      </c>
      <c r="E61" s="31" t="s">
        <v>738</v>
      </c>
    </row>
    <row r="62" spans="1:9" ht="15.75" customHeight="1">
      <c r="E62" s="185"/>
    </row>
    <row r="63" spans="1:9" ht="15.75" customHeight="1">
      <c r="E63" s="184" t="s">
        <v>739</v>
      </c>
      <c r="H63" s="186" t="s">
        <v>729</v>
      </c>
    </row>
    <row r="64" spans="1:9" ht="15.75" customHeight="1">
      <c r="E64" s="31" t="s">
        <v>738</v>
      </c>
      <c r="H64" s="183" t="s">
        <v>719</v>
      </c>
      <c r="I64" s="183" t="s">
        <v>720</v>
      </c>
    </row>
    <row r="65" spans="5:9" ht="15.75" customHeight="1">
      <c r="E65" s="185"/>
      <c r="H65" s="183" t="s">
        <v>721</v>
      </c>
      <c r="I65" s="183" t="s">
        <v>728</v>
      </c>
    </row>
    <row r="66" spans="5:9" ht="15.75" customHeight="1">
      <c r="E66" s="184" t="s">
        <v>740</v>
      </c>
      <c r="H66" s="183" t="s">
        <v>722</v>
      </c>
      <c r="I66" s="183">
        <v>2008</v>
      </c>
    </row>
    <row r="67" spans="5:9" ht="15.75" customHeight="1">
      <c r="E67" s="31" t="s">
        <v>741</v>
      </c>
      <c r="H67" s="183" t="s">
        <v>724</v>
      </c>
      <c r="I67" s="183" t="s">
        <v>730</v>
      </c>
    </row>
    <row r="68" spans="5:9" ht="15.75" customHeight="1">
      <c r="H68" s="183" t="s">
        <v>725</v>
      </c>
      <c r="I68" s="183">
        <v>2011</v>
      </c>
    </row>
    <row r="69" spans="5:9" ht="15.75" customHeight="1">
      <c r="H69" s="183" t="s">
        <v>726</v>
      </c>
      <c r="I69" s="183" t="s">
        <v>727</v>
      </c>
    </row>
  </sheetData>
  <mergeCells count="1">
    <mergeCell ref="A18:G18"/>
  </mergeCells>
  <hyperlinks>
    <hyperlink ref="C22" r:id="rId1"/>
    <hyperlink ref="C23" r:id="rId2"/>
    <hyperlink ref="H23" r:id="rId3" location="!/SantaClaraCH.html"/>
    <hyperlink ref="C24" r:id="rId4"/>
    <hyperlink ref="C25" r:id="rId5"/>
    <hyperlink ref="C26" r:id="rId6"/>
    <hyperlink ref="E27" r:id="rId7"/>
    <hyperlink ref="B28" r:id="rId8"/>
    <hyperlink ref="G28" r:id="rId9"/>
    <hyperlink ref="C29" r:id="rId10"/>
    <hyperlink ref="G29" r:id="rId11"/>
    <hyperlink ref="G30" r:id="rId12"/>
    <hyperlink ref="C31" r:id="rId13"/>
    <hyperlink ref="G31" r:id="rId14"/>
    <hyperlink ref="C32" r:id="rId15"/>
    <hyperlink ref="C33" r:id="rId16"/>
    <hyperlink ref="D33" r:id="rId17"/>
    <hyperlink ref="E37" r:id="rId18"/>
    <hyperlink ref="F37" r:id="rId19"/>
    <hyperlink ref="B38" r:id="rId20"/>
    <hyperlink ref="C40" r:id="rId21"/>
    <hyperlink ref="J38" r:id="rId22"/>
    <hyperlink ref="C41" r:id="rId23"/>
    <hyperlink ref="E53" r:id="rId24"/>
    <hyperlink ref="E55" r:id="rId25" display="https://www.highbeam.com/doc/1P2-7006742.html"/>
    <hyperlink ref="E58" r:id="rId26"/>
    <hyperlink ref="E61" r:id="rId27"/>
    <hyperlink ref="E64" r:id="rId28"/>
    <hyperlink ref="E67" r:id="rId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Contests</vt:lpstr>
      <vt:lpstr>Candidates</vt:lpstr>
      <vt:lpstr>Variables</vt:lpstr>
      <vt:lpstr>Sources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tlandsman</cp:lastModifiedBy>
  <dcterms:created xsi:type="dcterms:W3CDTF">2016-03-31T13:19:13Z</dcterms:created>
  <dcterms:modified xsi:type="dcterms:W3CDTF">2017-08-07T14:18:13Z</dcterms:modified>
</cp:coreProperties>
</file>