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382" windowHeight="14257" tabRatio="500" activeTab="2"/>
  </bookViews>
  <sheets>
    <sheet name="股票和国债" sheetId="1" r:id="rId1"/>
    <sheet name="恒为科技-603496" sheetId="2" r:id="rId2"/>
    <sheet name="银邦股份-300337" sheetId="3" r:id="rId3"/>
    <sheet name="创业五零-159682" sheetId="4" r:id="rId4"/>
    <sheet name="半导体ETF-512480" sheetId="5" r:id="rId5"/>
    <sheet name="中证A500-159338" sheetId="6" r:id="rId6"/>
    <sheet name="山西汾酒-600809" sheetId="7" r:id="rId7"/>
    <sheet name="大中矿业-001203" sheetId="8" r:id="rId8"/>
    <sheet name="新莱应材-300260" sheetId="9" r:id="rId9"/>
    <sheet name="新能源ETF易方达-516090" sheetId="10" r:id="rId10"/>
    <sheet name="沪深300ETF易方达-510310" sheetId="11" r:id="rId11"/>
    <sheet name="赛力斯-601127" sheetId="12" r:id="rId12"/>
    <sheet name="光迅科技-002281" sheetId="13" r:id="rId13"/>
    <sheet name="阳光电源-300274" sheetId="14" r:id="rId14"/>
    <sheet name="天孚通信-300394" sheetId="15" r:id="rId15"/>
    <sheet name="紫光国微-002049" sheetId="16" r:id="rId16"/>
    <sheet name="五粮液-000858" sheetId="17" r:id="rId17"/>
    <sheet name="大华股份-002236" sheetId="18" r:id="rId18"/>
    <sheet name="石英股份-603688" sheetId="19" r:id="rId19"/>
    <sheet name="闻泰科技-600745" sheetId="20" r:id="rId20"/>
    <sheet name="工商银行-601398" sheetId="21" r:id="rId21"/>
    <sheet name="人民网-603000" sheetId="22" r:id="rId22"/>
    <sheet name="工业富联-601138" sheetId="23" r:id="rId23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0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1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2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3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4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5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6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7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8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19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20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>frank:
集合竟价时进场，大忌，大盘高开，此股高开，随后大多数股票高开回落。</t>
        </r>
      </text>
    </comment>
  </commentList>
</comments>
</file>

<file path=xl/comments21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  </r>
      </text>
    </comment>
  </commentList>
</comments>
</file>

<file path=xl/comments22.xml><?xml version="1.0" encoding="utf-8"?>
<comments xmlns="http://schemas.openxmlformats.org/spreadsheetml/2006/main">
  <authors>
    <author xml:space="preserve"> </author>
  </authors>
  <commentList>
    <comment ref="I7" authorId="0">
      <text>
        <r>
          <rPr>
            <sz val="10"/>
            <rFont val="宋体"/>
            <charset val="134"/>
          </rPr>
          <t>frank:
前一天放量，今天进场感觉在洗盘，股价在21.5左右横盘，弱势，大盘跌。
高开5个点，午盘拉升，没有出在最高点，大盘涨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6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comments9.xml><?xml version="1.0" encoding="utf-8"?>
<comments xmlns="http://schemas.openxmlformats.org/spreadsheetml/2006/main">
  <authors>
    <author xml:space="preserve"> </author>
  </authors>
  <commentList>
    <comment ref="E4" authorId="0">
      <text>
        <r>
          <rPr>
            <sz val="10"/>
            <rFont val="宋体"/>
            <charset val="134"/>
          </rPr>
          <t>frank:
2023-8-24
昨天大盘下跌，股价最低位于221附近
今天大盘微涨，股价全天上行走势，最高231.27</t>
        </r>
      </text>
    </comment>
  </commentList>
</comments>
</file>

<file path=xl/sharedStrings.xml><?xml version="1.0" encoding="utf-8"?>
<sst xmlns="http://schemas.openxmlformats.org/spreadsheetml/2006/main" count="737" uniqueCount="71">
  <si>
    <t>总收益</t>
  </si>
  <si>
    <t>股票</t>
  </si>
  <si>
    <t>持股天数</t>
  </si>
  <si>
    <t>股票名称</t>
  </si>
  <si>
    <t>股票代码</t>
  </si>
  <si>
    <t>建仓时间</t>
  </si>
  <si>
    <t>成本价</t>
  </si>
  <si>
    <t>持仓数量</t>
  </si>
  <si>
    <t>清仓时间</t>
  </si>
  <si>
    <t>清仓价</t>
  </si>
  <si>
    <t>清仓数量</t>
  </si>
  <si>
    <t>前一天收盘价</t>
  </si>
  <si>
    <t>收益</t>
  </si>
  <si>
    <t>备注</t>
  </si>
  <si>
    <t>山西汾酒</t>
  </si>
  <si>
    <t>人民网</t>
  </si>
  <si>
    <t>介入时机不对，处于相对高位，近2日很有可能是在出货</t>
  </si>
  <si>
    <t>工业富联</t>
  </si>
  <si>
    <t>盘中最高价23.30</t>
  </si>
  <si>
    <t>工商银行</t>
  </si>
  <si>
    <t>石英股份</t>
  </si>
  <si>
    <t>闻泰科技</t>
  </si>
  <si>
    <t>成本价=（买入总成本-卖出总金额）÷持有股票数量</t>
  </si>
  <si>
    <t>浮动盈亏比例=（市价-成本价）÷成本价</t>
  </si>
  <si>
    <t>昨收盘价</t>
  </si>
  <si>
    <t>浮动收益</t>
  </si>
  <si>
    <t>恒为科技</t>
  </si>
  <si>
    <t>603496</t>
  </si>
  <si>
    <t>清仓前成本价</t>
  </si>
  <si>
    <t xml:space="preserve">清仓时间 </t>
  </si>
  <si>
    <t>费用</t>
  </si>
  <si>
    <t>交易时间</t>
  </si>
  <si>
    <t>交易类型</t>
  </si>
  <si>
    <t>交易价格</t>
  </si>
  <si>
    <t>交易数量</t>
  </si>
  <si>
    <t>交易金额</t>
  </si>
  <si>
    <t>佣金和过户费</t>
  </si>
  <si>
    <t>印花税</t>
  </si>
  <si>
    <t>买入</t>
  </si>
  <si>
    <t>平安</t>
  </si>
  <si>
    <t>卖出</t>
  </si>
  <si>
    <t>园元</t>
  </si>
  <si>
    <t>银邦股份</t>
  </si>
  <si>
    <t>300337</t>
  </si>
  <si>
    <t>创业五零</t>
  </si>
  <si>
    <t>半导体ETF</t>
  </si>
  <si>
    <t>512480</t>
  </si>
  <si>
    <t>中证A500</t>
  </si>
  <si>
    <t>159338</t>
  </si>
  <si>
    <t>大中矿业</t>
  </si>
  <si>
    <t>001203</t>
  </si>
  <si>
    <t>新莱应材</t>
  </si>
  <si>
    <t>300260</t>
  </si>
  <si>
    <t>新能源ETF易方达</t>
  </si>
  <si>
    <t>516090</t>
  </si>
  <si>
    <t>沪深300ETF易方达</t>
  </si>
  <si>
    <t>510310</t>
  </si>
  <si>
    <t>赛力斯</t>
  </si>
  <si>
    <t>光迅科技</t>
  </si>
  <si>
    <t>002281</t>
  </si>
  <si>
    <t>阳光电源</t>
  </si>
  <si>
    <t>300274</t>
  </si>
  <si>
    <t>天孚通信</t>
  </si>
  <si>
    <t>紫光国微</t>
  </si>
  <si>
    <t>002049</t>
  </si>
  <si>
    <t>五粮液</t>
  </si>
  <si>
    <t>000858</t>
  </si>
  <si>
    <t>卷商</t>
  </si>
  <si>
    <t>大华股份</t>
  </si>
  <si>
    <t>002236</t>
  </si>
  <si>
    <t>交易数量(股)</t>
  </si>
</sst>
</file>

<file path=xl/styles.xml><?xml version="1.0" encoding="utf-8"?>
<styleSheet xmlns="http://schemas.openxmlformats.org/spreadsheetml/2006/main">
  <numFmts count="9">
    <numFmt numFmtId="176" formatCode="0.00000000_ "/>
    <numFmt numFmtId="177" formatCode="0.0000_ "/>
    <numFmt numFmtId="178" formatCode="0_ "/>
    <numFmt numFmtId="179" formatCode="yyyy\-mm\-dd;@"/>
    <numFmt numFmtId="180" formatCode="0.00_ "/>
    <numFmt numFmtId="181" formatCode="0.00;[Red]0.00"/>
    <numFmt numFmtId="182" formatCode="0.00;[Green]\-0.00"/>
    <numFmt numFmtId="183" formatCode="0.000_ "/>
    <numFmt numFmtId="184" formatCode="yyyy\-m\-d"/>
  </numFmts>
  <fonts count="31">
    <font>
      <sz val="11"/>
      <color rgb="FF00A933"/>
      <name val="宋体"/>
      <charset val="134"/>
    </font>
    <font>
      <sz val="14"/>
      <color rgb="FF000000"/>
      <name val="宋体"/>
      <charset val="134"/>
    </font>
    <font>
      <b/>
      <sz val="14"/>
      <color rgb="FFFF0000"/>
      <name val="宋体"/>
      <charset val="134"/>
    </font>
    <font>
      <sz val="14"/>
      <color rgb="FFFF0000"/>
      <name val="宋体"/>
      <charset val="134"/>
    </font>
    <font>
      <b/>
      <sz val="14"/>
      <color rgb="FFFFFFFF"/>
      <name val="宋体"/>
      <charset val="134"/>
    </font>
    <font>
      <b/>
      <sz val="14"/>
      <color rgb="FF000000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"/>
    </font>
    <font>
      <sz val="16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182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" fillId="27" borderId="0">
      <alignment vertical="center"/>
    </xf>
    <xf numFmtId="0" fontId="13" fillId="12" borderId="0">
      <alignment vertical="center"/>
    </xf>
    <xf numFmtId="0" fontId="10" fillId="26" borderId="0">
      <alignment vertical="center"/>
    </xf>
    <xf numFmtId="0" fontId="27" fillId="24" borderId="17">
      <alignment vertical="center"/>
    </xf>
    <xf numFmtId="0" fontId="13" fillId="33" borderId="0">
      <alignment vertical="center"/>
    </xf>
    <xf numFmtId="0" fontId="13" fillId="30" borderId="0">
      <alignment vertical="center"/>
    </xf>
    <xf numFmtId="0" fontId="14" fillId="0" borderId="0"/>
    <xf numFmtId="0" fontId="10" fillId="20" borderId="0">
      <alignment vertical="center"/>
    </xf>
    <xf numFmtId="0" fontId="0" fillId="0" borderId="0"/>
    <xf numFmtId="0" fontId="10" fillId="16" borderId="0">
      <alignment vertical="center"/>
    </xf>
    <xf numFmtId="0" fontId="10" fillId="22" borderId="0">
      <alignment vertical="center"/>
    </xf>
    <xf numFmtId="0" fontId="10" fillId="5" borderId="0">
      <alignment vertical="center"/>
    </xf>
    <xf numFmtId="0" fontId="10" fillId="7" borderId="0">
      <alignment vertical="center"/>
    </xf>
    <xf numFmtId="0" fontId="10" fillId="18" borderId="0">
      <alignment vertical="center"/>
    </xf>
    <xf numFmtId="0" fontId="24" fillId="15" borderId="17">
      <alignment vertical="center"/>
    </xf>
    <xf numFmtId="0" fontId="10" fillId="25" borderId="0">
      <alignment vertical="center"/>
    </xf>
    <xf numFmtId="0" fontId="28" fillId="32" borderId="0">
      <alignment vertical="center"/>
    </xf>
    <xf numFmtId="0" fontId="13" fillId="23" borderId="0">
      <alignment vertical="center"/>
    </xf>
    <xf numFmtId="0" fontId="25" fillId="19" borderId="0">
      <alignment vertical="center"/>
    </xf>
    <xf numFmtId="0" fontId="13" fillId="31" borderId="0">
      <alignment vertical="center"/>
    </xf>
    <xf numFmtId="0" fontId="23" fillId="0" borderId="16">
      <alignment vertical="center"/>
    </xf>
    <xf numFmtId="0" fontId="22" fillId="14" borderId="0">
      <alignment vertical="center"/>
    </xf>
    <xf numFmtId="0" fontId="21" fillId="13" borderId="15">
      <alignment vertical="center"/>
    </xf>
    <xf numFmtId="0" fontId="26" fillId="15" borderId="18">
      <alignment vertical="center"/>
    </xf>
    <xf numFmtId="0" fontId="29" fillId="0" borderId="13">
      <alignment vertical="center"/>
    </xf>
    <xf numFmtId="0" fontId="20" fillId="0" borderId="0">
      <alignment vertical="center"/>
    </xf>
    <xf numFmtId="0" fontId="13" fillId="10" borderId="0">
      <alignment vertical="center"/>
    </xf>
    <xf numFmtId="0" fontId="12" fillId="0" borderId="0">
      <alignment vertical="center"/>
    </xf>
    <xf numFmtId="0" fontId="14" fillId="0" borderId="0"/>
    <xf numFmtId="0" fontId="13" fillId="29" borderId="0">
      <alignment vertical="center"/>
    </xf>
    <xf numFmtId="0" fontId="14" fillId="0" borderId="0"/>
    <xf numFmtId="0" fontId="19" fillId="0" borderId="0">
      <alignment vertical="center"/>
    </xf>
    <xf numFmtId="0" fontId="18" fillId="0" borderId="0">
      <alignment vertical="center"/>
    </xf>
    <xf numFmtId="0" fontId="13" fillId="11" borderId="0">
      <alignment vertical="center"/>
    </xf>
    <xf numFmtId="0" fontId="17" fillId="0" borderId="0">
      <alignment vertical="center"/>
    </xf>
    <xf numFmtId="0" fontId="10" fillId="21" borderId="0">
      <alignment vertical="center"/>
    </xf>
    <xf numFmtId="0" fontId="16" fillId="9" borderId="14">
      <alignment vertical="center"/>
    </xf>
    <xf numFmtId="0" fontId="13" fillId="8" borderId="0">
      <alignment vertical="center"/>
    </xf>
    <xf numFmtId="0" fontId="10" fillId="28" borderId="0">
      <alignment vertical="center"/>
    </xf>
    <xf numFmtId="0" fontId="13" fillId="6" borderId="0">
      <alignment vertical="center"/>
    </xf>
    <xf numFmtId="0" fontId="11" fillId="0" borderId="0">
      <alignment vertical="center"/>
    </xf>
    <xf numFmtId="0" fontId="14" fillId="0" borderId="0"/>
    <xf numFmtId="0" fontId="15" fillId="0" borderId="13">
      <alignment vertical="center"/>
    </xf>
    <xf numFmtId="0" fontId="13" fillId="4" borderId="0">
      <alignment vertical="center"/>
    </xf>
    <xf numFmtId="0" fontId="12" fillId="0" borderId="12">
      <alignment vertical="center"/>
    </xf>
    <xf numFmtId="0" fontId="10" fillId="3" borderId="0">
      <alignment vertical="center"/>
    </xf>
    <xf numFmtId="0" fontId="13" fillId="17" borderId="0">
      <alignment vertical="center"/>
    </xf>
    <xf numFmtId="0" fontId="9" fillId="0" borderId="11">
      <alignment vertical="center"/>
    </xf>
  </cellStyleXfs>
  <cellXfs count="49">
    <xf numFmtId="182" fontId="0" fillId="0" borderId="0" xfId="0" applyAlignment="1">
      <alignment vertical="center"/>
    </xf>
    <xf numFmtId="182" fontId="1" fillId="0" borderId="0" xfId="0" applyFont="1" applyAlignment="1">
      <alignment vertical="center"/>
    </xf>
    <xf numFmtId="182" fontId="0" fillId="0" borderId="0" xfId="0" applyAlignment="1"/>
    <xf numFmtId="182" fontId="1" fillId="0" borderId="0" xfId="0" applyFont="1" applyAlignment="1">
      <alignment horizontal="left" vertical="center"/>
    </xf>
    <xf numFmtId="182" fontId="2" fillId="0" borderId="1" xfId="0" applyFont="1" applyBorder="1" applyAlignment="1">
      <alignment horizontal="center" vertical="center"/>
    </xf>
    <xf numFmtId="182" fontId="1" fillId="0" borderId="0" xfId="0" applyFont="1" applyAlignment="1">
      <alignment horizontal="center" vertical="center"/>
    </xf>
    <xf numFmtId="182" fontId="3" fillId="0" borderId="0" xfId="0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82" fontId="4" fillId="0" borderId="0" xfId="0" applyFont="1" applyAlignment="1">
      <alignment horizontal="center" vertical="center"/>
    </xf>
    <xf numFmtId="182" fontId="4" fillId="2" borderId="2" xfId="0" applyFont="1" applyFill="1" applyBorder="1" applyAlignment="1">
      <alignment horizontal="center" vertical="center"/>
    </xf>
    <xf numFmtId="182" fontId="4" fillId="2" borderId="3" xfId="0" applyFont="1" applyFill="1" applyBorder="1" applyAlignment="1">
      <alignment horizontal="center" vertical="center"/>
    </xf>
    <xf numFmtId="182" fontId="1" fillId="0" borderId="4" xfId="0" applyFont="1" applyBorder="1" applyAlignment="1">
      <alignment horizontal="center" vertical="center"/>
    </xf>
    <xf numFmtId="183" fontId="1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84" fontId="1" fillId="0" borderId="5" xfId="0" applyNumberFormat="1" applyFont="1" applyBorder="1" applyAlignment="1">
      <alignment horizontal="center" vertical="center"/>
    </xf>
    <xf numFmtId="182" fontId="1" fillId="0" borderId="5" xfId="0" applyFont="1" applyBorder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2" fontId="4" fillId="2" borderId="6" xfId="0" applyFont="1" applyFill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180" fontId="1" fillId="0" borderId="7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 applyAlignment="1"/>
    <xf numFmtId="179" fontId="1" fillId="0" borderId="5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/>
    <xf numFmtId="49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82" fontId="6" fillId="0" borderId="1" xfId="0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0" fontId="0" fillId="0" borderId="0" xfId="0" applyNumberFormat="1" applyAlignment="1"/>
    <xf numFmtId="182" fontId="7" fillId="0" borderId="0" xfId="0" applyFont="1" applyAlignment="1">
      <alignment horizontal="center" vertical="center"/>
    </xf>
    <xf numFmtId="182" fontId="5" fillId="0" borderId="0" xfId="0" applyFont="1" applyAlignment="1">
      <alignment horizontal="center" vertical="center"/>
    </xf>
    <xf numFmtId="182" fontId="2" fillId="0" borderId="0" xfId="0" applyFont="1" applyAlignment="1">
      <alignment horizontal="center" vertical="center"/>
    </xf>
    <xf numFmtId="182" fontId="1" fillId="0" borderId="8" xfId="0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84" fontId="1" fillId="0" borderId="8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82" fontId="0" fillId="0" borderId="0" xfId="0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3" fontId="1" fillId="0" borderId="8" xfId="0" applyNumberFormat="1" applyFont="1" applyBorder="1" applyAlignment="1">
      <alignment horizontal="center" vertical="center"/>
    </xf>
    <xf numFmtId="182" fontId="2" fillId="0" borderId="9" xfId="0" applyFont="1" applyBorder="1" applyAlignment="1">
      <alignment horizontal="center" vertical="center"/>
    </xf>
    <xf numFmtId="183" fontId="8" fillId="0" borderId="10" xfId="0" applyNumberFormat="1" applyFont="1" applyBorder="1" applyAlignment="1">
      <alignment horizontal="center" vertical="center"/>
    </xf>
    <xf numFmtId="182" fontId="0" fillId="0" borderId="8" xfId="0" applyBorder="1" applyAlignment="1">
      <alignment horizontal="left" vertical="center"/>
    </xf>
  </cellXfs>
  <cellStyles count="52">
    <cellStyle name="常规" xfId="0" builtinId="0"/>
    <cellStyle name="未命名1" xfId="1"/>
    <cellStyle name="负数-绿色" xfId="2"/>
    <cellStyle name="正数-红色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selection activeCell="E20" sqref="E20"/>
    </sheetView>
  </sheetViews>
  <sheetFormatPr defaultColWidth="9" defaultRowHeight="13.45"/>
  <cols>
    <col min="1" max="1" width="11.8558558558559" style="2" customWidth="1"/>
    <col min="2" max="3" width="11.8468468468468" style="2" customWidth="1"/>
    <col min="4" max="4" width="14.6306306306306" style="2" customWidth="1"/>
    <col min="5" max="5" width="11.8468468468468" style="2" customWidth="1"/>
    <col min="6" max="6" width="11.8558558558559" style="2" customWidth="1"/>
    <col min="7" max="7" width="15.6126126126126" style="2" customWidth="1"/>
    <col min="8" max="9" width="13.3693693693694" style="2" customWidth="1"/>
    <col min="10" max="10" width="17.3693693693694" style="2" customWidth="1"/>
    <col min="11" max="11" width="16" style="2" customWidth="1"/>
    <col min="12" max="12" width="53.2342342342342" style="2" customWidth="1"/>
    <col min="13" max="13" width="2.5045045045045" style="2" customWidth="1"/>
  </cols>
  <sheetData>
    <row r="1" ht="14.25" customHeight="1"/>
    <row r="2" ht="21.75" customHeight="1" spans="10:11">
      <c r="J2" s="46" t="s">
        <v>0</v>
      </c>
      <c r="K2" s="47">
        <f>SUM(K5:K29)</f>
        <v>-3763.90000000001</v>
      </c>
    </row>
    <row r="3" ht="21.75" customHeight="1" spans="1:1">
      <c r="A3" s="36" t="s">
        <v>1</v>
      </c>
    </row>
    <row r="4" ht="21.75" customHeight="1" spans="1:12">
      <c r="A4" s="36" t="s">
        <v>2</v>
      </c>
      <c r="B4" s="36" t="s">
        <v>3</v>
      </c>
      <c r="C4" s="36" t="s">
        <v>4</v>
      </c>
      <c r="D4" s="36" t="s">
        <v>5</v>
      </c>
      <c r="E4" s="36" t="s">
        <v>6</v>
      </c>
      <c r="F4" s="36" t="s">
        <v>7</v>
      </c>
      <c r="G4" s="36" t="s">
        <v>8</v>
      </c>
      <c r="H4" s="36" t="s">
        <v>9</v>
      </c>
      <c r="I4" s="36" t="s">
        <v>10</v>
      </c>
      <c r="J4" s="36" t="s">
        <v>11</v>
      </c>
      <c r="K4" s="36" t="s">
        <v>12</v>
      </c>
      <c r="L4" s="36" t="s">
        <v>13</v>
      </c>
    </row>
    <row r="5" ht="21.75" customHeight="1" spans="1:12">
      <c r="A5" s="37">
        <f ca="1" t="shared" ref="A5:A11" si="0">NETWORKDAYS(D5,IF(ISBLANK(G5),TODAY(),G5))</f>
        <v>27</v>
      </c>
      <c r="B5" s="37" t="s">
        <v>14</v>
      </c>
      <c r="C5" s="38">
        <v>600809</v>
      </c>
      <c r="D5" s="39">
        <v>45134</v>
      </c>
      <c r="E5" s="37">
        <f>'山西汾酒-600809'!D7</f>
        <v>0</v>
      </c>
      <c r="F5" s="37">
        <f>SUMIFS('山西汾酒-600809'!N7:N14,'山西汾酒-600809'!L7:L14,"买入")-SUMIFS('山西汾酒-600809'!N7:N14,'山西汾酒-600809'!L7:L14,"卖出")</f>
        <v>500</v>
      </c>
      <c r="G5" s="40">
        <v>45170</v>
      </c>
      <c r="H5" s="44">
        <v>249.11</v>
      </c>
      <c r="I5" s="42">
        <v>100</v>
      </c>
      <c r="J5" s="37">
        <f>'山西汾酒-600809'!D8</f>
        <v>0</v>
      </c>
      <c r="K5" s="45">
        <f t="shared" ref="K5:K11" si="1">IF(F5=0,(H5-E5)*I5,(J5-E5)*F5)</f>
        <v>0</v>
      </c>
      <c r="L5" s="48"/>
    </row>
    <row r="6" ht="21.75" customHeight="1" spans="1:12">
      <c r="A6" s="37">
        <f ca="1" t="shared" si="0"/>
        <v>291</v>
      </c>
      <c r="B6" s="37" t="s">
        <v>14</v>
      </c>
      <c r="C6" s="38">
        <v>600809</v>
      </c>
      <c r="D6" s="39">
        <v>45183</v>
      </c>
      <c r="E6" s="45">
        <f>'山西汾酒-600809'!B8</f>
        <v>0</v>
      </c>
      <c r="F6" s="37">
        <f>'山西汾酒-600809'!C8</f>
        <v>0</v>
      </c>
      <c r="G6" s="40"/>
      <c r="H6" s="44"/>
      <c r="I6" s="42"/>
      <c r="J6" s="37">
        <f>'山西汾酒-600809'!D5</f>
        <v>257.45</v>
      </c>
      <c r="K6" s="45">
        <f t="shared" si="1"/>
        <v>0</v>
      </c>
      <c r="L6" s="48"/>
    </row>
    <row r="7" ht="21.75" customHeight="1" spans="1:12">
      <c r="A7" s="37">
        <f ca="1" t="shared" si="0"/>
        <v>5</v>
      </c>
      <c r="B7" s="37" t="s">
        <v>15</v>
      </c>
      <c r="C7" s="38">
        <v>603000</v>
      </c>
      <c r="D7" s="39">
        <v>45161</v>
      </c>
      <c r="E7" s="37">
        <f>'人民网-603000'!E5</f>
        <v>36.1833333333333</v>
      </c>
      <c r="F7" s="37">
        <f>SUMIFS('人民网-603000'!$D8:$D34,'人民网-603000'!$B8:$B34,"买入")-SUMIFS('人民网-603000'!$D8:$D34,'人民网-603000'!$B8:$B34,"卖出")</f>
        <v>0</v>
      </c>
      <c r="G7" s="40">
        <v>45167</v>
      </c>
      <c r="H7" s="44">
        <v>37.05</v>
      </c>
      <c r="I7" s="42">
        <v>600</v>
      </c>
      <c r="J7" s="37">
        <f>'人民网-603000'!G5</f>
        <v>41.5</v>
      </c>
      <c r="K7" s="45">
        <f t="shared" si="1"/>
        <v>520</v>
      </c>
      <c r="L7" s="48" t="s">
        <v>16</v>
      </c>
    </row>
    <row r="8" ht="21.75" customHeight="1" spans="1:12">
      <c r="A8" s="37">
        <f ca="1" t="shared" si="0"/>
        <v>2</v>
      </c>
      <c r="B8" s="37" t="s">
        <v>17</v>
      </c>
      <c r="C8" s="38">
        <v>601138</v>
      </c>
      <c r="D8" s="39">
        <v>45161</v>
      </c>
      <c r="E8" s="45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>22.05</v>
      </c>
      <c r="F8" s="37">
        <f>SUMIFS('工业富联-601138'!$D8:$D34,'工业富联-601138'!$B8:$B34,"买入")-SUMIFS('工业富联-601138'!$D8:$D34,'工业富联-601138'!$B8:$B34,"卖出")</f>
        <v>0</v>
      </c>
      <c r="G8" s="40">
        <v>45162</v>
      </c>
      <c r="H8" s="44">
        <v>22.7</v>
      </c>
      <c r="I8" s="42">
        <v>3400</v>
      </c>
      <c r="J8" s="37"/>
      <c r="K8" s="45">
        <f t="shared" si="1"/>
        <v>2209.99999999999</v>
      </c>
      <c r="L8" s="48" t="s">
        <v>18</v>
      </c>
    </row>
    <row r="9" ht="21.75" customHeight="1" spans="1:12">
      <c r="A9" s="37">
        <f ca="1" t="shared" si="0"/>
        <v>13</v>
      </c>
      <c r="B9" s="37" t="s">
        <v>19</v>
      </c>
      <c r="C9" s="38">
        <v>601398</v>
      </c>
      <c r="D9" s="40">
        <v>45166</v>
      </c>
      <c r="E9" s="37">
        <f>'工商银行-601398'!H5</f>
        <v>5.006</v>
      </c>
      <c r="F9" s="37">
        <f>'工商银行-601398'!F5</f>
        <v>0</v>
      </c>
      <c r="G9" s="40">
        <f>'工商银行-601398'!A10</f>
        <v>45182</v>
      </c>
      <c r="H9" s="44">
        <f>'工商银行-601398'!I5</f>
        <v>4.62</v>
      </c>
      <c r="I9" s="42">
        <f>'工商银行-601398'!J5</f>
        <v>13700</v>
      </c>
      <c r="J9" s="37">
        <f>'工商银行-601398'!G5</f>
        <v>4.74</v>
      </c>
      <c r="K9" s="45">
        <f t="shared" si="1"/>
        <v>-5288.2</v>
      </c>
      <c r="L9" s="48"/>
    </row>
    <row r="10" ht="21.75" customHeight="1" spans="1:12">
      <c r="A10" s="37">
        <f ca="1" t="shared" si="0"/>
        <v>11</v>
      </c>
      <c r="B10" s="5" t="s">
        <v>20</v>
      </c>
      <c r="C10" s="41">
        <v>603688</v>
      </c>
      <c r="D10" s="40">
        <v>45211</v>
      </c>
      <c r="E10" s="37">
        <f>'石英股份-603688'!D7</f>
        <v>99.5</v>
      </c>
      <c r="F10" s="37">
        <f>'石英股份-603688'!C7</f>
        <v>0</v>
      </c>
      <c r="G10" s="40">
        <f>'石英股份-603688'!J8</f>
        <v>45225</v>
      </c>
      <c r="H10" s="44">
        <f>'石英股份-603688'!E7</f>
        <v>89.585</v>
      </c>
      <c r="I10" s="42">
        <f>'石英股份-603688'!F7</f>
        <v>200</v>
      </c>
      <c r="J10" s="37">
        <f>'石英股份-603688'!D5</f>
        <v>92.84</v>
      </c>
      <c r="K10" s="45">
        <f t="shared" si="1"/>
        <v>-1983</v>
      </c>
      <c r="L10" s="48"/>
    </row>
    <row r="11" ht="21.75" customHeight="1" spans="1:12">
      <c r="A11" s="37">
        <f ca="1" t="shared" si="0"/>
        <v>12</v>
      </c>
      <c r="B11" s="5" t="s">
        <v>21</v>
      </c>
      <c r="C11" s="41">
        <v>600745</v>
      </c>
      <c r="D11" s="40">
        <v>45211</v>
      </c>
      <c r="E11" s="37">
        <v>46.719</v>
      </c>
      <c r="F11" s="37">
        <f>'闻泰科技-600745'!C7</f>
        <v>0</v>
      </c>
      <c r="G11" s="22">
        <v>45226</v>
      </c>
      <c r="H11" s="18">
        <v>49.31</v>
      </c>
      <c r="I11" s="13">
        <v>300</v>
      </c>
      <c r="J11" s="37">
        <f>'闻泰科技-600745'!D5</f>
        <v>53.63</v>
      </c>
      <c r="K11" s="45">
        <f t="shared" si="1"/>
        <v>777.3</v>
      </c>
      <c r="L11" s="48"/>
    </row>
    <row r="12" ht="21.75" customHeight="1" spans="1:12">
      <c r="A12" s="37"/>
      <c r="B12" s="37"/>
      <c r="C12" s="42"/>
      <c r="D12" s="40"/>
      <c r="E12" s="37"/>
      <c r="F12" s="37"/>
      <c r="G12" s="40"/>
      <c r="H12" s="44"/>
      <c r="I12" s="42"/>
      <c r="J12" s="37"/>
      <c r="K12" s="45"/>
      <c r="L12" s="48"/>
    </row>
    <row r="13" ht="21.75" customHeight="1" spans="1:12">
      <c r="A13" s="37"/>
      <c r="B13" s="37"/>
      <c r="C13" s="42"/>
      <c r="D13" s="40"/>
      <c r="E13" s="37"/>
      <c r="F13" s="37"/>
      <c r="G13" s="40"/>
      <c r="H13" s="44"/>
      <c r="I13" s="42"/>
      <c r="J13" s="37"/>
      <c r="K13" s="45"/>
      <c r="L13" s="48"/>
    </row>
    <row r="14" ht="21.75" customHeight="1" spans="1:12">
      <c r="A14" s="37"/>
      <c r="B14" s="37"/>
      <c r="C14" s="42"/>
      <c r="D14" s="40"/>
      <c r="E14" s="37"/>
      <c r="F14" s="37"/>
      <c r="G14" s="40"/>
      <c r="H14" s="44"/>
      <c r="I14" s="42"/>
      <c r="J14" s="37"/>
      <c r="K14" s="45"/>
      <c r="L14" s="48"/>
    </row>
    <row r="15" ht="21.75" customHeight="1" spans="1:12">
      <c r="A15" s="37"/>
      <c r="B15" s="37"/>
      <c r="C15" s="42"/>
      <c r="D15" s="40"/>
      <c r="E15" s="37"/>
      <c r="F15" s="37"/>
      <c r="G15" s="40"/>
      <c r="H15" s="44"/>
      <c r="I15" s="42"/>
      <c r="J15" s="37"/>
      <c r="K15" s="45"/>
      <c r="L15" s="48"/>
    </row>
    <row r="16" ht="21.75" customHeight="1" spans="1:12">
      <c r="A16" s="37"/>
      <c r="B16" s="37"/>
      <c r="C16" s="42"/>
      <c r="D16" s="40"/>
      <c r="E16" s="37"/>
      <c r="F16" s="37"/>
      <c r="G16" s="40"/>
      <c r="H16" s="44"/>
      <c r="I16" s="42"/>
      <c r="J16" s="37"/>
      <c r="K16" s="45"/>
      <c r="L16" s="48"/>
    </row>
    <row r="17" ht="21.75" customHeight="1" spans="1:12">
      <c r="A17" s="37"/>
      <c r="B17" s="37"/>
      <c r="C17" s="42"/>
      <c r="D17" s="40"/>
      <c r="E17" s="37"/>
      <c r="F17" s="37"/>
      <c r="G17" s="40"/>
      <c r="H17" s="44"/>
      <c r="I17" s="42"/>
      <c r="J17" s="37"/>
      <c r="K17" s="45"/>
      <c r="L17" s="48"/>
    </row>
    <row r="18" ht="21.75" customHeight="1" spans="1:12">
      <c r="A18" s="37"/>
      <c r="B18" s="37"/>
      <c r="C18" s="42"/>
      <c r="D18" s="40"/>
      <c r="E18" s="37"/>
      <c r="F18" s="37"/>
      <c r="G18" s="40"/>
      <c r="H18" s="44"/>
      <c r="I18" s="42"/>
      <c r="J18" s="37"/>
      <c r="K18" s="45"/>
      <c r="L18" s="48"/>
    </row>
    <row r="19" ht="21.75" customHeight="1" spans="1:12">
      <c r="A19" s="37"/>
      <c r="B19" s="37"/>
      <c r="C19" s="42"/>
      <c r="D19" s="40"/>
      <c r="E19" s="37"/>
      <c r="F19" s="37"/>
      <c r="G19" s="40"/>
      <c r="H19" s="44"/>
      <c r="I19" s="42"/>
      <c r="J19" s="37"/>
      <c r="K19" s="45"/>
      <c r="L19" s="48"/>
    </row>
    <row r="20" ht="21.75" customHeight="1" spans="1:12">
      <c r="A20" s="37"/>
      <c r="B20" s="37"/>
      <c r="C20" s="42"/>
      <c r="D20" s="40"/>
      <c r="E20" s="37"/>
      <c r="F20" s="37"/>
      <c r="G20" s="40"/>
      <c r="H20" s="44"/>
      <c r="I20" s="42"/>
      <c r="J20" s="37"/>
      <c r="K20" s="45"/>
      <c r="L20" s="48"/>
    </row>
    <row r="21" ht="21.75" customHeight="1" spans="1:12">
      <c r="A21" s="37"/>
      <c r="B21" s="37"/>
      <c r="C21" s="42"/>
      <c r="D21" s="40"/>
      <c r="E21" s="37"/>
      <c r="F21" s="37"/>
      <c r="G21" s="40"/>
      <c r="H21" s="44"/>
      <c r="I21" s="42"/>
      <c r="J21" s="37"/>
      <c r="K21" s="45"/>
      <c r="L21" s="48"/>
    </row>
    <row r="22" ht="21.75" customHeight="1" spans="1:12">
      <c r="A22" s="37"/>
      <c r="B22" s="37"/>
      <c r="C22" s="42"/>
      <c r="D22" s="40"/>
      <c r="E22" s="37"/>
      <c r="F22" s="37"/>
      <c r="G22" s="40"/>
      <c r="H22" s="44"/>
      <c r="I22" s="42"/>
      <c r="J22" s="37"/>
      <c r="K22" s="45"/>
      <c r="L22" s="48"/>
    </row>
    <row r="23" ht="21.75" customHeight="1" spans="1:12">
      <c r="A23" s="37"/>
      <c r="B23" s="37"/>
      <c r="C23" s="42"/>
      <c r="D23" s="40"/>
      <c r="E23" s="37"/>
      <c r="F23" s="37"/>
      <c r="G23" s="40"/>
      <c r="H23" s="44"/>
      <c r="I23" s="42"/>
      <c r="J23" s="37"/>
      <c r="K23" s="45"/>
      <c r="L23" s="48"/>
    </row>
    <row r="24" ht="21.75" customHeight="1" spans="1:12">
      <c r="A24" s="37"/>
      <c r="B24" s="37"/>
      <c r="C24" s="42"/>
      <c r="D24" s="40"/>
      <c r="E24" s="37"/>
      <c r="F24" s="37"/>
      <c r="G24" s="40"/>
      <c r="H24" s="44"/>
      <c r="I24" s="42"/>
      <c r="J24" s="37"/>
      <c r="K24" s="45"/>
      <c r="L24" s="48"/>
    </row>
    <row r="25" ht="21.75" customHeight="1" spans="1:12">
      <c r="A25" s="37"/>
      <c r="B25" s="37"/>
      <c r="C25" s="42"/>
      <c r="D25" s="40"/>
      <c r="E25" s="37"/>
      <c r="F25" s="37"/>
      <c r="G25" s="40"/>
      <c r="H25" s="44"/>
      <c r="I25" s="42"/>
      <c r="J25" s="37"/>
      <c r="K25" s="45"/>
      <c r="L25" s="48"/>
    </row>
    <row r="26" ht="21.75" customHeight="1" spans="1:12">
      <c r="A26" s="37"/>
      <c r="B26" s="37"/>
      <c r="C26" s="42"/>
      <c r="D26" s="40"/>
      <c r="E26" s="37"/>
      <c r="F26" s="37"/>
      <c r="G26" s="40"/>
      <c r="H26" s="44"/>
      <c r="I26" s="42"/>
      <c r="J26" s="37"/>
      <c r="K26" s="45"/>
      <c r="L26" s="48"/>
    </row>
    <row r="27" ht="21.75" customHeight="1" spans="1:12">
      <c r="A27" s="37"/>
      <c r="B27" s="37"/>
      <c r="C27" s="42"/>
      <c r="D27" s="40"/>
      <c r="E27" s="37"/>
      <c r="F27" s="37"/>
      <c r="G27" s="40"/>
      <c r="H27" s="44"/>
      <c r="I27" s="42"/>
      <c r="J27" s="37"/>
      <c r="K27" s="45"/>
      <c r="L27" s="48"/>
    </row>
    <row r="28" ht="21.75" customHeight="1" spans="1:12">
      <c r="A28" s="37"/>
      <c r="B28" s="37"/>
      <c r="C28" s="42"/>
      <c r="D28" s="40"/>
      <c r="E28" s="37"/>
      <c r="F28" s="37"/>
      <c r="G28" s="40"/>
      <c r="H28" s="44"/>
      <c r="I28" s="42"/>
      <c r="J28" s="37"/>
      <c r="K28" s="45"/>
      <c r="L28" s="48"/>
    </row>
    <row r="29" ht="21.75" customHeight="1" spans="1:12">
      <c r="A29" s="37"/>
      <c r="B29" s="37"/>
      <c r="C29" s="42"/>
      <c r="D29" s="40"/>
      <c r="E29" s="37"/>
      <c r="F29" s="37"/>
      <c r="G29" s="40"/>
      <c r="H29" s="44"/>
      <c r="I29" s="42"/>
      <c r="J29" s="37"/>
      <c r="K29" s="45"/>
      <c r="L29" s="48"/>
    </row>
    <row r="30" ht="21.75" customHeight="1" spans="1:9">
      <c r="A30" s="43"/>
      <c r="B30" s="43"/>
      <c r="C30" s="43"/>
      <c r="D30" s="43"/>
      <c r="E30" s="43"/>
      <c r="F30" s="43"/>
      <c r="G30" s="43"/>
      <c r="H30" s="43"/>
      <c r="I30" s="43"/>
    </row>
    <row r="31" ht="21.75" customHeight="1" spans="1:9">
      <c r="A31" s="43"/>
      <c r="B31" s="43"/>
      <c r="C31" s="43"/>
      <c r="D31" s="43"/>
      <c r="E31" s="43"/>
      <c r="F31" s="43"/>
      <c r="G31" s="43"/>
      <c r="H31" s="43"/>
      <c r="I31" s="43"/>
    </row>
    <row r="32" ht="21.75" customHeight="1" spans="1:9">
      <c r="A32" s="43"/>
      <c r="B32" s="43"/>
      <c r="C32" s="43"/>
      <c r="D32" s="43"/>
      <c r="E32" s="43"/>
      <c r="F32" s="43"/>
      <c r="G32" s="43"/>
      <c r="H32" s="43"/>
      <c r="I32" s="43"/>
    </row>
    <row r="33" ht="21.75" customHeight="1" spans="1:9">
      <c r="A33" s="43"/>
      <c r="B33" s="43"/>
      <c r="C33" s="43"/>
      <c r="D33" s="43"/>
      <c r="E33" s="43"/>
      <c r="F33" s="43"/>
      <c r="G33" s="43"/>
      <c r="H33" s="43"/>
      <c r="I33" s="43"/>
    </row>
    <row r="34" ht="21.75" customHeight="1" spans="1:9">
      <c r="A34" s="43"/>
      <c r="B34" s="43"/>
      <c r="C34" s="43"/>
      <c r="D34" s="43"/>
      <c r="E34" s="43"/>
      <c r="F34" s="43"/>
      <c r="G34" s="43"/>
      <c r="H34" s="43"/>
      <c r="I34" s="43"/>
    </row>
    <row r="35" ht="21.75" customHeight="1" spans="1:9">
      <c r="A35" s="43"/>
      <c r="B35" s="43"/>
      <c r="C35" s="43"/>
      <c r="D35" s="43"/>
      <c r="E35" s="43"/>
      <c r="F35" s="43"/>
      <c r="G35" s="43"/>
      <c r="H35" s="43"/>
      <c r="I35" s="43"/>
    </row>
    <row r="36" ht="21.75" customHeight="1" spans="1:9">
      <c r="A36" s="43"/>
      <c r="B36" s="43"/>
      <c r="C36" s="43"/>
      <c r="D36" s="43"/>
      <c r="E36" s="43"/>
      <c r="F36" s="43"/>
      <c r="G36" s="43"/>
      <c r="H36" s="43"/>
      <c r="I36" s="43"/>
    </row>
    <row r="37" ht="21.75" customHeight="1" spans="1:9">
      <c r="A37" s="43"/>
      <c r="B37" s="43"/>
      <c r="C37" s="43"/>
      <c r="D37" s="43"/>
      <c r="E37" s="43"/>
      <c r="F37" s="43"/>
      <c r="G37" s="43"/>
      <c r="H37" s="43"/>
      <c r="I37" s="43"/>
    </row>
    <row r="38" ht="21.75" customHeight="1" spans="1:9">
      <c r="A38" s="43"/>
      <c r="B38" s="43"/>
      <c r="C38" s="43"/>
      <c r="D38" s="43"/>
      <c r="E38" s="43"/>
      <c r="F38" s="43"/>
      <c r="G38" s="43"/>
      <c r="H38" s="43"/>
      <c r="I38" s="43"/>
    </row>
    <row r="39" ht="21.75" customHeight="1" spans="1:9">
      <c r="A39" s="43"/>
      <c r="B39" s="43"/>
      <c r="C39" s="43"/>
      <c r="D39" s="43"/>
      <c r="E39" s="43"/>
      <c r="F39" s="43"/>
      <c r="G39" s="43"/>
      <c r="H39" s="43"/>
      <c r="I39" s="43"/>
    </row>
    <row r="40" ht="21.75" customHeight="1" spans="1:9">
      <c r="A40" s="43"/>
      <c r="B40" s="43"/>
      <c r="C40" s="43"/>
      <c r="D40" s="43"/>
      <c r="E40" s="43"/>
      <c r="F40" s="43"/>
      <c r="G40" s="43"/>
      <c r="H40" s="43"/>
      <c r="I40" s="43"/>
    </row>
    <row r="41" ht="21.75" customHeight="1" spans="1:9">
      <c r="A41" s="43"/>
      <c r="B41" s="43"/>
      <c r="C41" s="43"/>
      <c r="D41" s="43"/>
      <c r="E41" s="43"/>
      <c r="F41" s="43"/>
      <c r="G41" s="43"/>
      <c r="H41" s="43"/>
      <c r="I41" s="43"/>
    </row>
    <row r="42" ht="21.75" customHeight="1" spans="1:9">
      <c r="A42" s="43"/>
      <c r="B42" s="43"/>
      <c r="C42" s="43"/>
      <c r="D42" s="43"/>
      <c r="E42" s="43"/>
      <c r="F42" s="43"/>
      <c r="G42" s="43"/>
      <c r="H42" s="43"/>
      <c r="I42" s="43"/>
    </row>
    <row r="43" ht="21.75" customHeight="1" spans="1:9">
      <c r="A43" s="43"/>
      <c r="B43" s="43"/>
      <c r="C43" s="43"/>
      <c r="D43" s="43"/>
      <c r="E43" s="43"/>
      <c r="F43" s="43"/>
      <c r="G43" s="43"/>
      <c r="H43" s="43"/>
      <c r="I43" s="43"/>
    </row>
    <row r="44" ht="21.75" customHeight="1" spans="1:9">
      <c r="A44" s="43"/>
      <c r="B44" s="43"/>
      <c r="C44" s="43"/>
      <c r="D44" s="43"/>
      <c r="E44" s="43"/>
      <c r="F44" s="43"/>
      <c r="G44" s="43"/>
      <c r="H44" s="43"/>
      <c r="I44" s="43"/>
    </row>
    <row r="45" ht="21.75" customHeight="1" spans="1:9">
      <c r="A45" s="43"/>
      <c r="B45" s="43"/>
      <c r="C45" s="43"/>
      <c r="D45" s="43"/>
      <c r="E45" s="43"/>
      <c r="F45" s="43"/>
      <c r="G45" s="43"/>
      <c r="H45" s="43"/>
      <c r="I45" s="43"/>
    </row>
    <row r="46" ht="21.75" customHeight="1" spans="1:9">
      <c r="A46" s="43"/>
      <c r="B46" s="43"/>
      <c r="C46" s="43"/>
      <c r="D46" s="43"/>
      <c r="E46" s="43"/>
      <c r="F46" s="43"/>
      <c r="G46" s="43"/>
      <c r="H46" s="43"/>
      <c r="I46" s="43"/>
    </row>
    <row r="47" ht="21.75" customHeight="1" spans="1:9">
      <c r="A47" s="43"/>
      <c r="B47" s="43"/>
      <c r="C47" s="43"/>
      <c r="D47" s="43"/>
      <c r="E47" s="43"/>
      <c r="F47" s="43"/>
      <c r="G47" s="43"/>
      <c r="H47" s="43"/>
      <c r="I47" s="43"/>
    </row>
    <row r="48" ht="21.75" customHeight="1" spans="1:9">
      <c r="A48" s="43"/>
      <c r="B48" s="43"/>
      <c r="C48" s="43"/>
      <c r="D48" s="43"/>
      <c r="E48" s="43"/>
      <c r="F48" s="43"/>
      <c r="G48" s="43"/>
      <c r="H48" s="43"/>
      <c r="I48" s="43"/>
    </row>
    <row r="49" ht="21.75" customHeight="1" spans="1:9">
      <c r="A49" s="43"/>
      <c r="B49" s="43"/>
      <c r="C49" s="43"/>
      <c r="D49" s="43"/>
      <c r="E49" s="43"/>
      <c r="F49" s="43"/>
      <c r="G49" s="43"/>
      <c r="H49" s="43"/>
      <c r="I49" s="43"/>
    </row>
    <row r="50" ht="21.75" customHeight="1" spans="1:9">
      <c r="A50" s="43"/>
      <c r="B50" s="43"/>
      <c r="C50" s="43"/>
      <c r="D50" s="43"/>
      <c r="E50" s="43"/>
      <c r="F50" s="43"/>
      <c r="G50" s="43"/>
      <c r="H50" s="43"/>
      <c r="I50" s="43"/>
    </row>
    <row r="51" ht="21.75" customHeight="1" spans="1:9">
      <c r="A51" s="43"/>
      <c r="B51" s="43"/>
      <c r="C51" s="43"/>
      <c r="D51" s="43"/>
      <c r="E51" s="43"/>
      <c r="F51" s="43"/>
      <c r="G51" s="43"/>
      <c r="H51" s="43"/>
      <c r="I51" s="43"/>
    </row>
    <row r="52" ht="21.75" customHeight="1" spans="1:9">
      <c r="A52" s="43"/>
      <c r="B52" s="43"/>
      <c r="C52" s="43"/>
      <c r="D52" s="43"/>
      <c r="E52" s="43"/>
      <c r="F52" s="43"/>
      <c r="G52" s="43"/>
      <c r="H52" s="43"/>
      <c r="I52" s="43"/>
    </row>
    <row r="53" ht="21.75" customHeight="1" spans="1:9">
      <c r="A53" s="43"/>
      <c r="B53" s="43"/>
      <c r="C53" s="43"/>
      <c r="D53" s="43"/>
      <c r="E53" s="43"/>
      <c r="F53" s="43"/>
      <c r="G53" s="43"/>
      <c r="H53" s="43"/>
      <c r="I53" s="43"/>
    </row>
    <row r="54" ht="21.75" customHeight="1" spans="1:9">
      <c r="A54" s="43"/>
      <c r="B54" s="43"/>
      <c r="C54" s="43"/>
      <c r="D54" s="43"/>
      <c r="E54" s="43"/>
      <c r="F54" s="43"/>
      <c r="G54" s="43"/>
      <c r="H54" s="43"/>
      <c r="I54" s="43"/>
    </row>
    <row r="55" ht="21.75" customHeight="1" spans="1:9">
      <c r="A55" s="43"/>
      <c r="B55" s="43"/>
      <c r="C55" s="43"/>
      <c r="D55" s="43"/>
      <c r="E55" s="43"/>
      <c r="F55" s="43"/>
      <c r="G55" s="43"/>
      <c r="H55" s="43"/>
      <c r="I55" s="43"/>
    </row>
    <row r="56" ht="21.75" customHeight="1" spans="1:9">
      <c r="A56" s="43"/>
      <c r="B56" s="43"/>
      <c r="C56" s="43"/>
      <c r="D56" s="43"/>
      <c r="E56" s="43"/>
      <c r="F56" s="43"/>
      <c r="G56" s="43"/>
      <c r="H56" s="43"/>
      <c r="I56" s="43"/>
    </row>
    <row r="57" ht="21.75" customHeight="1" spans="1:9">
      <c r="A57" s="43"/>
      <c r="B57" s="43"/>
      <c r="C57" s="43"/>
      <c r="D57" s="43"/>
      <c r="E57" s="43"/>
      <c r="F57" s="43"/>
      <c r="G57" s="43"/>
      <c r="H57" s="43"/>
      <c r="I57" s="43"/>
    </row>
  </sheetData>
  <mergeCells count="1">
    <mergeCell ref="A3:K3"/>
  </mergeCells>
  <conditionalFormatting sqref="K2">
    <cfRule type="expression" dxfId="0" priority="2">
      <formula>$K$2&gt;0</formula>
    </cfRule>
    <cfRule type="expression" dxfId="1" priority="3">
      <formula>$K$2&lt;0</formula>
    </cfRule>
  </conditionalFormatting>
  <conditionalFormatting sqref="K5:K6">
    <cfRule type="expression" dxfId="0" priority="4">
      <formula>$K$5:$K$29&gt;0</formula>
    </cfRule>
  </conditionalFormatting>
  <conditionalFormatting sqref="K5:K29">
    <cfRule type="cellIs" dxfId="2" priority="5" operator="lessThan">
      <formula>0</formula>
    </cfRule>
    <cfRule type="cellIs" dxfId="3" priority="6" operator="greaterThan">
      <formula>0</formula>
    </cfRule>
  </conditionalFormatting>
  <pageMargins left="0.75" right="0.75" top="1" bottom="1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topLeftCell="A3" workbookViewId="0">
      <selection activeCell="P10" sqref="P10"/>
    </sheetView>
  </sheetViews>
  <sheetFormatPr defaultColWidth="9" defaultRowHeight="13.45"/>
  <cols>
    <col min="1" max="1" width="15.6216216216216" style="2" customWidth="1"/>
    <col min="2" max="2" width="21.954954954955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-1070.527634</v>
      </c>
    </row>
    <row r="5" ht="19.5" customHeight="1" spans="1:4">
      <c r="A5" s="26">
        <f ca="1">NETWORKDAYS(A7,TODAY())</f>
        <v>162</v>
      </c>
      <c r="B5" s="5" t="s">
        <v>53</v>
      </c>
      <c r="C5" s="28" t="s">
        <v>54</v>
      </c>
      <c r="D5" s="5">
        <v>0.376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45364</v>
      </c>
      <c r="B7" s="16">
        <f>IF(C7=0,0,(SUMIFS(O7:O33,L7:L33,"买入")+SUM(P7:P33)+SUM(Q7:Q33)-SUMIFS(O7:O33,L7:L33,"卖出"))/C7)</f>
        <v>0.395506724898336</v>
      </c>
      <c r="C7" s="26">
        <f>SUMIFS(N7:N33,L7:L33,"买入")-SUMIFS(N7:N33,L7:L33,"卖出")</f>
        <v>54100</v>
      </c>
      <c r="D7" s="5"/>
      <c r="E7" s="5"/>
      <c r="F7" s="5"/>
      <c r="G7" s="22"/>
      <c r="H7" s="34">
        <f>SUM(P7:P33)+SUM(Q7:Q33)</f>
        <v>15.213817</v>
      </c>
      <c r="I7" s="5"/>
      <c r="K7" s="22">
        <v>45364</v>
      </c>
      <c r="L7" s="11" t="s">
        <v>38</v>
      </c>
      <c r="M7" s="12">
        <v>0.4</v>
      </c>
      <c r="N7" s="13">
        <v>6800</v>
      </c>
      <c r="O7" s="18">
        <f t="shared" ref="O7:O33" si="0">M7*N7</f>
        <v>2720</v>
      </c>
      <c r="P7" s="18">
        <f>IF(O7=0,0,IF((O7*1/10000)&lt;5,5+O7*0.1/10000,(O7*1.1/10000)))</f>
        <v>5.0272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45369</v>
      </c>
      <c r="L8" s="11" t="s">
        <v>38</v>
      </c>
      <c r="M8" s="12">
        <v>0.397</v>
      </c>
      <c r="N8" s="13">
        <v>8500</v>
      </c>
      <c r="O8" s="18">
        <f t="shared" si="0"/>
        <v>3374.5</v>
      </c>
      <c r="P8" s="18">
        <f>IF(O8=0,0,IF((O8*1/10000)&lt;5,5+O8*0.1/10000,(O8*1.1/10000)))</f>
        <v>5.033745</v>
      </c>
      <c r="Q8" s="18">
        <f t="shared" si="1"/>
        <v>0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45385</v>
      </c>
      <c r="L9" s="11" t="s">
        <v>38</v>
      </c>
      <c r="M9" s="12">
        <v>0.394</v>
      </c>
      <c r="N9" s="13">
        <v>38800</v>
      </c>
      <c r="O9" s="18">
        <f t="shared" si="0"/>
        <v>15287.2</v>
      </c>
      <c r="P9" s="18">
        <f>IF(O9=0,0,IF((O9*1/10000)&lt;5,5+O9*0.1/10000,(O9*1.1/10000)))</f>
        <v>5.152872</v>
      </c>
      <c r="Q9" s="18">
        <f t="shared" si="1"/>
        <v>0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ref="P10:P33" si="2">IF(OR(ISNUMBER(SEARCH("00",C5)),ISNUMBER(SEARCH("300",C5))),IF(O10=0,0,IF((O10*0.854/10000)&lt;5,5,(O10*0.954/10000))),IF(O10=0,0,IF((O10*0.854/10000)&lt;5,5,(O10*0.954/10000))))</f>
        <v>0</v>
      </c>
      <c r="Q10" s="18">
        <f t="shared" si="1"/>
        <v>0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2"/>
        <v>0</v>
      </c>
      <c r="Q11" s="18">
        <f t="shared" si="1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I8" sqref="I8"/>
    </sheetView>
  </sheetViews>
  <sheetFormatPr defaultColWidth="9" defaultRowHeight="13.45"/>
  <cols>
    <col min="1" max="1" width="15.6216216216216" style="2" customWidth="1"/>
    <col min="2" max="2" width="23.3693693693694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-30.804315</v>
      </c>
    </row>
    <row r="5" ht="19.5" customHeight="1" spans="1:4">
      <c r="A5" s="26">
        <f ca="1">NETWORKDAYS(A7,TODAY())</f>
        <v>149</v>
      </c>
      <c r="B5" s="5" t="s">
        <v>55</v>
      </c>
      <c r="C5" s="28" t="s">
        <v>56</v>
      </c>
      <c r="D5" s="16">
        <v>1.781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45383</v>
      </c>
      <c r="B7" s="16">
        <f>IF(C7=0,0,(SUMIFS(O7:O33,L7:L33,"买入")+SUM(P7:P33)+SUM(Q7:Q33)-SUMIFS(O7:O33,L7:L33,"卖出"))/C7)</f>
        <v>0</v>
      </c>
      <c r="C7" s="26">
        <f>SUMIFS(N7:N33,L7:L33,"买入")-SUMIFS(N7:N33,L7:L33,"卖出")</f>
        <v>0</v>
      </c>
      <c r="D7" s="16">
        <v>1.729</v>
      </c>
      <c r="E7" s="5">
        <v>1.736</v>
      </c>
      <c r="F7" s="5">
        <v>23500</v>
      </c>
      <c r="G7" s="22">
        <v>45408</v>
      </c>
      <c r="H7" s="34">
        <f>SUM(P7:P33)+SUM(Q7:Q33)</f>
        <v>30.804315</v>
      </c>
      <c r="I7" s="5">
        <f>(E7-D7)*F7-H7</f>
        <v>133.695684999998</v>
      </c>
      <c r="K7" s="22">
        <v>45383</v>
      </c>
      <c r="L7" s="11" t="s">
        <v>38</v>
      </c>
      <c r="M7" s="12">
        <v>1.729</v>
      </c>
      <c r="N7" s="13">
        <v>23500</v>
      </c>
      <c r="O7" s="18">
        <f t="shared" ref="O7:O33" si="0">M7*N7</f>
        <v>40631.5</v>
      </c>
      <c r="P7" s="18">
        <f>IF(O7=0,0,IF((O7*1/10000)&lt;5,5+O7*0.1/10000,(O7*1.1/10000)))</f>
        <v>5.406315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16"/>
      <c r="E8" s="5"/>
      <c r="F8" s="5"/>
      <c r="G8" s="5"/>
      <c r="H8" s="5"/>
      <c r="I8" s="5"/>
      <c r="K8" s="22">
        <v>45408</v>
      </c>
      <c r="L8" s="11" t="s">
        <v>40</v>
      </c>
      <c r="M8" s="12">
        <v>1.736</v>
      </c>
      <c r="N8" s="13">
        <v>23500</v>
      </c>
      <c r="O8" s="18">
        <f t="shared" si="0"/>
        <v>40796</v>
      </c>
      <c r="P8" s="18">
        <f t="shared" ref="P8:P33" si="2">IF(OR(ISNUMBER(SEARCH("00",C5)),ISNUMBER(SEARCH("300",C5))),IF(O8=0,0,IF((O8*0.854/10000)&lt;5,5,(O8*0.954/10000))),IF(O8=0,0,IF((O8*0.854/10000)&lt;5,5,(O8*0.954/10000))))</f>
        <v>5</v>
      </c>
      <c r="Q8" s="18">
        <f t="shared" si="1"/>
        <v>20.398</v>
      </c>
      <c r="U8" s="7" t="s">
        <v>41</v>
      </c>
    </row>
    <row r="9" ht="21.75" customHeight="1" spans="1:33">
      <c r="A9" s="22"/>
      <c r="B9" s="16"/>
      <c r="C9" s="5"/>
      <c r="D9" s="16"/>
      <c r="E9" s="5"/>
      <c r="F9" s="5"/>
      <c r="G9" s="22"/>
      <c r="H9" s="5"/>
      <c r="I9" s="5"/>
      <c r="K9" s="22"/>
      <c r="L9" s="11"/>
      <c r="M9" s="12"/>
      <c r="N9" s="13"/>
      <c r="O9" s="18">
        <f t="shared" si="0"/>
        <v>0</v>
      </c>
      <c r="P9" s="18">
        <f t="shared" si="2"/>
        <v>0</v>
      </c>
      <c r="Q9" s="18">
        <f t="shared" si="1"/>
        <v>0</v>
      </c>
      <c r="AE9" t="s">
        <v>38</v>
      </c>
      <c r="AG9" t="s">
        <v>38</v>
      </c>
    </row>
    <row r="10" ht="21.75" customHeight="1" spans="1:33">
      <c r="A10" s="22"/>
      <c r="D10" s="16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2"/>
        <v>0</v>
      </c>
      <c r="Q10" s="18">
        <f t="shared" si="1"/>
        <v>0</v>
      </c>
      <c r="AE10" t="s">
        <v>40</v>
      </c>
      <c r="AG10" t="s">
        <v>40</v>
      </c>
    </row>
    <row r="11" ht="21.75" customHeight="1" spans="1:17">
      <c r="A11" s="22"/>
      <c r="D11" s="16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2"/>
        <v>0</v>
      </c>
      <c r="Q11" s="18">
        <f t="shared" si="1"/>
        <v>0</v>
      </c>
    </row>
    <row r="12" ht="21.75" customHeight="1" spans="4:17">
      <c r="D12" s="16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16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16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16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16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16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16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16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16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16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16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16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16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16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16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16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16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16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16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16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16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16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9.0810810810811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2">
        <f>(D5-B7)*C7-H7</f>
        <v>15457.77926</v>
      </c>
    </row>
    <row r="5" ht="19.5" customHeight="1" spans="1:4">
      <c r="A5" s="26">
        <f ca="1">NETWORKDAYS(A7,TODAY())</f>
        <v>175</v>
      </c>
      <c r="B5" s="5" t="s">
        <v>57</v>
      </c>
      <c r="C5" s="28">
        <v>601127</v>
      </c>
      <c r="D5" s="5">
        <v>101.57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45345</v>
      </c>
      <c r="B7" s="16">
        <f>IF(C7=0,0,(SUMIFS(O7:O33,L7:L33,"买入")+SUM(P7:P33)+SUM(Q7:Q33)-SUMIFS(O7:O33,L7:L33,"卖出"))/C7)</f>
        <v>84.2723448555556</v>
      </c>
      <c r="C7" s="26">
        <f>SUMIFS(N7:N33,L7:L33,"买入")-SUMIFS(N7:N33,L7:L33,"卖出")</f>
        <v>900</v>
      </c>
      <c r="D7" s="5"/>
      <c r="E7" s="5"/>
      <c r="F7" s="5"/>
      <c r="G7" s="22"/>
      <c r="H7" s="5">
        <f>SUM(P7:P33)+SUM(Q7:Q33)</f>
        <v>110.11037</v>
      </c>
      <c r="I7" s="5"/>
      <c r="K7" s="25">
        <v>45345</v>
      </c>
      <c r="L7" s="11" t="s">
        <v>38</v>
      </c>
      <c r="M7" s="18">
        <v>72.55</v>
      </c>
      <c r="N7" s="13">
        <v>700</v>
      </c>
      <c r="O7" s="18">
        <f t="shared" ref="O7:O33" si="0">M7*N7</f>
        <v>50785</v>
      </c>
      <c r="P7" s="18">
        <f t="shared" ref="P7:P33" si="1">IF(O7=0,0,IF((O7*1/10000)&lt;5,5+O7*0.1/10000,(O7*1.1/10000)))</f>
        <v>5.58635</v>
      </c>
      <c r="Q7" s="18">
        <f t="shared" ref="Q7:Q33" si="2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>
        <v>45348</v>
      </c>
      <c r="L8" s="11" t="s">
        <v>40</v>
      </c>
      <c r="M8" s="18">
        <v>79.2</v>
      </c>
      <c r="N8" s="13">
        <v>600</v>
      </c>
      <c r="O8" s="18">
        <f t="shared" si="0"/>
        <v>47520</v>
      </c>
      <c r="P8" s="18">
        <f t="shared" si="1"/>
        <v>5.4752</v>
      </c>
      <c r="Q8" s="18">
        <f t="shared" si="2"/>
        <v>23.76</v>
      </c>
      <c r="U8" s="7" t="s">
        <v>41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>
        <v>45349</v>
      </c>
      <c r="L9" s="11" t="s">
        <v>38</v>
      </c>
      <c r="M9" s="18">
        <v>81.87</v>
      </c>
      <c r="N9" s="13">
        <v>300</v>
      </c>
      <c r="O9" s="18">
        <f t="shared" si="0"/>
        <v>24561</v>
      </c>
      <c r="P9" s="18">
        <f t="shared" si="1"/>
        <v>5.24561</v>
      </c>
      <c r="Q9" s="18">
        <f t="shared" si="2"/>
        <v>0</v>
      </c>
      <c r="AE9" t="s">
        <v>38</v>
      </c>
    </row>
    <row r="10" ht="21.75" customHeight="1" spans="4:31">
      <c r="D10" s="5"/>
      <c r="E10" s="5"/>
      <c r="F10" s="5"/>
      <c r="K10" s="25">
        <v>45350</v>
      </c>
      <c r="L10" s="11" t="s">
        <v>38</v>
      </c>
      <c r="M10" s="18">
        <v>87.89</v>
      </c>
      <c r="N10" s="13">
        <v>600</v>
      </c>
      <c r="O10" s="18">
        <f t="shared" si="0"/>
        <v>52734</v>
      </c>
      <c r="P10" s="18">
        <f t="shared" si="1"/>
        <v>5.80074</v>
      </c>
      <c r="Q10" s="18">
        <f t="shared" si="2"/>
        <v>0</v>
      </c>
      <c r="AE10" t="s">
        <v>40</v>
      </c>
    </row>
    <row r="11" ht="21.75" customHeight="1" spans="4:17">
      <c r="D11" s="5"/>
      <c r="E11" s="5"/>
      <c r="F11" s="5"/>
      <c r="K11" s="25">
        <v>45350</v>
      </c>
      <c r="L11" s="11" t="s">
        <v>40</v>
      </c>
      <c r="M11" s="18">
        <v>90.12</v>
      </c>
      <c r="N11" s="13">
        <v>300</v>
      </c>
      <c r="O11" s="18">
        <f t="shared" si="0"/>
        <v>27036</v>
      </c>
      <c r="P11" s="18">
        <f t="shared" si="1"/>
        <v>5.27036</v>
      </c>
      <c r="Q11" s="18">
        <f t="shared" si="2"/>
        <v>13.518</v>
      </c>
    </row>
    <row r="12" ht="21.75" customHeight="1" spans="4:17">
      <c r="D12" s="5"/>
      <c r="E12" s="5"/>
      <c r="F12" s="5"/>
      <c r="K12" s="25">
        <v>45357</v>
      </c>
      <c r="L12" s="11" t="s">
        <v>40</v>
      </c>
      <c r="M12" s="18">
        <v>94.5</v>
      </c>
      <c r="N12" s="13">
        <v>600</v>
      </c>
      <c r="O12" s="18">
        <f t="shared" si="0"/>
        <v>56700</v>
      </c>
      <c r="P12" s="18">
        <f t="shared" si="1"/>
        <v>6.237</v>
      </c>
      <c r="Q12" s="18">
        <f t="shared" si="2"/>
        <v>28.35</v>
      </c>
    </row>
    <row r="13" ht="21.75" customHeight="1" spans="4:17">
      <c r="D13" s="5"/>
      <c r="E13" s="5"/>
      <c r="F13" s="5"/>
      <c r="K13" s="25">
        <v>45359</v>
      </c>
      <c r="L13" s="11" t="s">
        <v>38</v>
      </c>
      <c r="M13" s="18">
        <v>93.77</v>
      </c>
      <c r="N13" s="13">
        <v>300</v>
      </c>
      <c r="O13" s="18">
        <f t="shared" si="0"/>
        <v>28131</v>
      </c>
      <c r="P13" s="18">
        <f t="shared" si="1"/>
        <v>5.28131</v>
      </c>
      <c r="Q13" s="18">
        <f t="shared" si="2"/>
        <v>0</v>
      </c>
    </row>
    <row r="14" ht="21.75" customHeight="1" spans="4:17">
      <c r="D14" s="5"/>
      <c r="E14" s="5"/>
      <c r="F14" s="5"/>
      <c r="K14" s="22">
        <v>45363</v>
      </c>
      <c r="L14" s="11" t="s">
        <v>38</v>
      </c>
      <c r="M14" s="18">
        <v>101.56</v>
      </c>
      <c r="N14" s="13">
        <v>500</v>
      </c>
      <c r="O14" s="18">
        <f t="shared" si="0"/>
        <v>50780</v>
      </c>
      <c r="P14" s="18">
        <f t="shared" si="1"/>
        <v>5.5858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0" priority="2">
      <formula>$I$4&gt;0</formula>
    </cfRule>
    <cfRule type="expression" dxfId="2" priority="1">
      <formula>$I$4&lt;0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1.6126126126126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ht="21.75" customHeight="1" spans="1:34">
      <c r="A2" s="1"/>
      <c r="B2" s="3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1">
        <f>(D5-B7)*C7-H7</f>
        <v>-544.746020000006</v>
      </c>
    </row>
    <row r="5" ht="19.5" customHeight="1" spans="1:4">
      <c r="A5" s="26">
        <f ca="1">NETWORKDAYS(A7,TODAY())</f>
        <v>175</v>
      </c>
      <c r="B5" s="5" t="s">
        <v>58</v>
      </c>
      <c r="C5" s="28" t="s">
        <v>59</v>
      </c>
      <c r="D5" s="5">
        <v>40.66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45345</v>
      </c>
      <c r="B7" s="16">
        <f>IF(C7=0,0,(SUMIFS(O7:O33,L7:L33,"买入")+SUM(P7:P33)+SUM(Q7:Q33)-SUMIFS(O7:O33,L7:L33,"卖出"))/C7)</f>
        <v>41.0745177</v>
      </c>
      <c r="C7" s="26">
        <f>SUMIFS(N7:N33,L7:L33,"买入")-SUMIFS(N7:N33,L7:L33,"卖出")</f>
        <v>1300</v>
      </c>
      <c r="D7" s="5"/>
      <c r="E7" s="5"/>
      <c r="F7" s="5"/>
      <c r="G7" s="22"/>
      <c r="H7" s="5">
        <f>SUM(P7:P33)+SUM(Q7:Q33)</f>
        <v>5.87301</v>
      </c>
      <c r="I7" s="5"/>
      <c r="K7" s="25">
        <v>45345</v>
      </c>
      <c r="L7" s="11" t="s">
        <v>38</v>
      </c>
      <c r="M7" s="18">
        <v>41.07</v>
      </c>
      <c r="N7" s="13">
        <v>1300</v>
      </c>
      <c r="O7" s="18">
        <f t="shared" ref="O7:O33" si="0">M7*N7</f>
        <v>53391</v>
      </c>
      <c r="P7" s="18">
        <f t="shared" ref="P7:P33" si="1">IF(O7=0,0,IF((O7*1/10000)&lt;5,5+O7*0.1/10000,(O7*1.1/10000)))</f>
        <v>5.87301</v>
      </c>
      <c r="Q7" s="18">
        <f t="shared" ref="Q7:Q33" si="2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/>
      <c r="L8" s="11"/>
      <c r="M8" s="18"/>
      <c r="N8" s="13"/>
      <c r="O8" s="18">
        <f t="shared" si="0"/>
        <v>0</v>
      </c>
      <c r="P8" s="18">
        <f t="shared" si="1"/>
        <v>0</v>
      </c>
      <c r="Q8" s="18">
        <f t="shared" si="2"/>
        <v>0</v>
      </c>
      <c r="U8" s="7" t="s">
        <v>41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38</v>
      </c>
    </row>
    <row r="10" ht="21.75" customHeight="1" spans="4:31">
      <c r="D10" s="5"/>
      <c r="E10" s="5"/>
      <c r="F10" s="5"/>
      <c r="K10" s="25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40</v>
      </c>
    </row>
    <row r="11" ht="21.75" customHeight="1" spans="4:17">
      <c r="D11" s="5"/>
      <c r="E11" s="5"/>
      <c r="F11" s="5"/>
      <c r="K11" s="25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5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5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cellIs" dxfId="0" priority="4" operator="greaterThanOrEqual">
      <formula>0</formula>
    </cfRule>
    <cfRule type="expression" dxfId="2" priority="5">
      <formula>$I$4&lt;0</formula>
    </cfRule>
  </conditionalFormatting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workbookViewId="0">
      <selection activeCell="A5" sqref="A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0.4864864864865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ht="21.75" customHeight="1" spans="1:34">
      <c r="A2" s="1"/>
      <c r="B2" s="3" t="s">
        <v>23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0">
        <f>(D5-B7)*C7-H7</f>
        <v>3108.725</v>
      </c>
    </row>
    <row r="5" ht="19.5" customHeight="1" spans="1:4">
      <c r="A5" s="26">
        <f ca="1">NETWORKDAYS(A7,TODAY())</f>
        <v>164</v>
      </c>
      <c r="B5" s="5" t="s">
        <v>60</v>
      </c>
      <c r="C5" s="28" t="s">
        <v>61</v>
      </c>
      <c r="D5" s="5">
        <v>108.74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45362</v>
      </c>
      <c r="B7" s="16">
        <f>IF(C7=0,0,(SUMIFS(O7:O33,L7:L33,"买入")+SUM(P7:P33)+SUM(Q7:Q33)-SUMIFS(O7:O33,L7:L33,"卖出"))/C7)</f>
        <v>102.511275</v>
      </c>
      <c r="C7" s="26">
        <f>SUMIFS(N7:N33,L7:L33,"买入")-SUMIFS(N7:N33,L7:L33,"卖出")</f>
        <v>500</v>
      </c>
      <c r="D7" s="5"/>
      <c r="E7" s="5"/>
      <c r="F7" s="5"/>
      <c r="G7" s="22"/>
      <c r="H7" s="5">
        <f>SUM(P7:P33)+SUM(Q7:Q33)</f>
        <v>5.6375</v>
      </c>
      <c r="I7" s="5"/>
      <c r="K7" s="25">
        <v>45362</v>
      </c>
      <c r="L7" s="11" t="s">
        <v>38</v>
      </c>
      <c r="M7" s="18">
        <v>102.5</v>
      </c>
      <c r="N7" s="13">
        <v>500</v>
      </c>
      <c r="O7" s="18">
        <f t="shared" ref="O7:O33" si="0">M7*N7</f>
        <v>51250</v>
      </c>
      <c r="P7" s="18">
        <f t="shared" ref="P7:P33" si="1">IF(O7=0,0,IF((O7*1/10000)&lt;5,5+O7*0.1/10000,(O7*1.1/10000)))</f>
        <v>5.6375</v>
      </c>
      <c r="Q7" s="18">
        <f t="shared" ref="Q7:Q33" si="2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/>
      <c r="L8" s="11"/>
      <c r="M8" s="18"/>
      <c r="N8" s="13"/>
      <c r="O8" s="18">
        <f t="shared" si="0"/>
        <v>0</v>
      </c>
      <c r="P8" s="18">
        <f t="shared" si="1"/>
        <v>0</v>
      </c>
      <c r="Q8" s="18">
        <f t="shared" si="2"/>
        <v>0</v>
      </c>
      <c r="U8" s="7" t="s">
        <v>41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5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38</v>
      </c>
    </row>
    <row r="10" ht="21.75" customHeight="1" spans="4:31">
      <c r="D10" s="5"/>
      <c r="E10" s="5"/>
      <c r="F10" s="5"/>
      <c r="K10" s="25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40</v>
      </c>
    </row>
    <row r="11" ht="21.75" customHeight="1" spans="4:17">
      <c r="D11" s="5"/>
      <c r="E11" s="5"/>
      <c r="F11" s="5"/>
      <c r="K11" s="25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5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5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S29" sqref="S29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3.3693693693694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1.6126126126126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29">
        <f>(D5-B7)*C7-H7</f>
        <v>35.970419999997</v>
      </c>
    </row>
    <row r="5" ht="19.5" customHeight="1" spans="1:4">
      <c r="A5" s="26">
        <f ca="1">NETWORKDAYS(A7,TODAY())</f>
        <v>166</v>
      </c>
      <c r="B5" s="5" t="s">
        <v>62</v>
      </c>
      <c r="C5" s="28">
        <v>300394</v>
      </c>
      <c r="D5" s="5">
        <v>134.48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45358</v>
      </c>
      <c r="B7" s="16">
        <f>IF(C7=0,0,(SUMIFS(O7:O13,L7:L13,"买入")+SUM(P7:P13)+SUM(Q7:Q13)-SUMIFS(O7:O13,L7:L13,"卖出"))/C7)</f>
        <v>133.6051479</v>
      </c>
      <c r="C7" s="26">
        <f>SUMIFS(N7:N13,L7:L13,"买入")-SUMIFS(N7:N13,L7:L13,"卖出")</f>
        <v>100</v>
      </c>
      <c r="D7" s="5"/>
      <c r="E7" s="5"/>
      <c r="F7" s="5"/>
      <c r="G7" s="22"/>
      <c r="H7" s="5">
        <f>SUM(P7:P14)+SUM(Q7:Q14)</f>
        <v>51.51479</v>
      </c>
      <c r="I7" s="5"/>
      <c r="K7" s="25">
        <v>45358</v>
      </c>
      <c r="L7" s="11" t="s">
        <v>38</v>
      </c>
      <c r="M7" s="18">
        <v>138.04</v>
      </c>
      <c r="N7" s="13">
        <v>600</v>
      </c>
      <c r="O7" s="18">
        <f t="shared" ref="O7:O33" si="0">M7*N7</f>
        <v>82824</v>
      </c>
      <c r="P7" s="18">
        <f t="shared" ref="P7:P33" si="1">IF(O7=0,0,IF((O7*1/10000)&lt;5,5+O7*0.1/10000,(O7*1.1/10000)))</f>
        <v>9.11064</v>
      </c>
      <c r="Q7" s="18">
        <f t="shared" ref="Q7:Q33" si="2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5">
        <v>45359</v>
      </c>
      <c r="L8" s="11" t="s">
        <v>40</v>
      </c>
      <c r="M8" s="18">
        <v>139.03</v>
      </c>
      <c r="N8" s="13">
        <v>500</v>
      </c>
      <c r="O8" s="18">
        <f t="shared" si="0"/>
        <v>69515</v>
      </c>
      <c r="P8" s="18">
        <f t="shared" si="1"/>
        <v>7.64665</v>
      </c>
      <c r="Q8" s="18">
        <f t="shared" si="2"/>
        <v>34.7575</v>
      </c>
      <c r="U8" s="7" t="s">
        <v>41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38</v>
      </c>
    </row>
    <row r="10" ht="21.75" customHeight="1" spans="4:31">
      <c r="D10" s="5"/>
      <c r="E10" s="5"/>
      <c r="F10" s="5"/>
      <c r="K10" s="22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40</v>
      </c>
    </row>
    <row r="11" ht="21.75" customHeight="1" spans="4:17">
      <c r="D11" s="5"/>
      <c r="E11" s="5"/>
      <c r="F11" s="5"/>
      <c r="K11" s="22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I8" sqref="I8"/>
    </sheetView>
  </sheetViews>
  <sheetFormatPr defaultColWidth="9" defaultRowHeight="13.45"/>
  <cols>
    <col min="1" max="1" width="15.6216216216216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25.432432432432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4" max="34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27">
        <f>(D5-B7)*C7-H7</f>
        <v>-51.644</v>
      </c>
    </row>
    <row r="5" ht="19.5" customHeight="1" spans="1:4">
      <c r="A5" s="5">
        <f ca="1">NETWORKDAYS(A7,TODAY())</f>
        <v>170</v>
      </c>
      <c r="B5" s="5" t="s">
        <v>63</v>
      </c>
      <c r="C5" s="6" t="s">
        <v>64</v>
      </c>
      <c r="D5" s="5">
        <v>71.15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5">
        <v>45352</v>
      </c>
      <c r="B7" s="16">
        <f>IF(C7=0,0,(SUMIFS(O7:O13,L7:L13,"买入")+SUM(P7:P13)+SUM(Q7:Q13)-SUMIFS(O7:O13,L7:L13,"卖出"))/C7)</f>
        <v>0</v>
      </c>
      <c r="C7" s="26">
        <f>SUMIFS(N7:N13,L7:L13,"买入")-SUMIFS(N7:N13,L7:L13,"卖出")</f>
        <v>0</v>
      </c>
      <c r="D7" s="5">
        <v>74.1</v>
      </c>
      <c r="E7" s="5">
        <v>71.3</v>
      </c>
      <c r="F7" s="26">
        <v>1000</v>
      </c>
      <c r="G7" s="22">
        <v>45363</v>
      </c>
      <c r="H7" s="5">
        <f>SUM(P7:P14)+SUM(Q7:Q14)</f>
        <v>51.644</v>
      </c>
      <c r="I7" s="5">
        <f>(E7-D7)*F7-H7</f>
        <v>-2851.644</v>
      </c>
      <c r="K7" s="25">
        <v>45352</v>
      </c>
      <c r="L7" s="11" t="s">
        <v>38</v>
      </c>
      <c r="M7" s="18">
        <v>74.1</v>
      </c>
      <c r="N7" s="13">
        <v>1000</v>
      </c>
      <c r="O7" s="18">
        <f t="shared" ref="O7:O33" si="0">M7*N7</f>
        <v>74100</v>
      </c>
      <c r="P7" s="18">
        <f t="shared" ref="P7:P33" si="1">IF(O7=0,0,IF((O7*1/10000)&lt;5,5+O7*0.1/10000,(O7*1.1/10000)))</f>
        <v>8.151</v>
      </c>
      <c r="Q7" s="18">
        <f t="shared" ref="Q7:Q33" si="2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45363</v>
      </c>
      <c r="L8" s="11" t="s">
        <v>40</v>
      </c>
      <c r="M8" s="18">
        <v>71.3</v>
      </c>
      <c r="N8" s="13">
        <v>1000</v>
      </c>
      <c r="O8" s="18">
        <f t="shared" si="0"/>
        <v>71300</v>
      </c>
      <c r="P8" s="18">
        <f t="shared" si="1"/>
        <v>7.843</v>
      </c>
      <c r="Q8" s="18">
        <f t="shared" si="2"/>
        <v>35.65</v>
      </c>
      <c r="U8" s="7" t="s">
        <v>41</v>
      </c>
    </row>
    <row r="9" ht="21.75" customHeight="1" spans="1:31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8"/>
      <c r="N9" s="13"/>
      <c r="O9" s="18">
        <f t="shared" si="0"/>
        <v>0</v>
      </c>
      <c r="P9" s="18">
        <f t="shared" si="1"/>
        <v>0</v>
      </c>
      <c r="Q9" s="18">
        <f t="shared" si="2"/>
        <v>0</v>
      </c>
      <c r="AE9" t="s">
        <v>38</v>
      </c>
    </row>
    <row r="10" ht="21.75" customHeight="1" spans="4:31">
      <c r="D10" s="5"/>
      <c r="E10" s="5"/>
      <c r="F10" s="5"/>
      <c r="K10" s="22"/>
      <c r="L10" s="11"/>
      <c r="M10" s="18"/>
      <c r="N10" s="13"/>
      <c r="O10" s="18">
        <f t="shared" si="0"/>
        <v>0</v>
      </c>
      <c r="P10" s="18">
        <f t="shared" si="1"/>
        <v>0</v>
      </c>
      <c r="Q10" s="18">
        <f t="shared" si="2"/>
        <v>0</v>
      </c>
      <c r="AE10" t="s">
        <v>40</v>
      </c>
    </row>
    <row r="11" ht="21.75" customHeight="1" spans="4:17">
      <c r="D11" s="5"/>
      <c r="E11" s="5"/>
      <c r="F11" s="5"/>
      <c r="K11" s="22"/>
      <c r="L11" s="11"/>
      <c r="M11" s="18"/>
      <c r="N11" s="13"/>
      <c r="O11" s="18">
        <f t="shared" si="0"/>
        <v>0</v>
      </c>
      <c r="P11" s="18">
        <f t="shared" si="1"/>
        <v>0</v>
      </c>
      <c r="Q11" s="18">
        <f t="shared" si="2"/>
        <v>0</v>
      </c>
    </row>
    <row r="12" ht="21.75" customHeight="1" spans="4:17">
      <c r="D12" s="5"/>
      <c r="E12" s="5"/>
      <c r="F12" s="5"/>
      <c r="K12" s="22"/>
      <c r="L12" s="11"/>
      <c r="M12" s="18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8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8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8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8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8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8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8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8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8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8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8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8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8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8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8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8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8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8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8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8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8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L7:L33">
      <formula1>$AE$9:$AE$10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workbookViewId="0">
      <selection activeCell="O9" sqref="O9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9" width="11.8738738738739" style="2" customWidth="1"/>
    <col min="10" max="10" width="2.74774774774775" style="2" customWidth="1"/>
    <col min="11" max="11" width="6.62162162162162" style="2" customWidth="1"/>
    <col min="12" max="12" width="14.6216216216216" style="2" customWidth="1"/>
    <col min="13" max="14" width="12.6396396396396" style="2" customWidth="1"/>
    <col min="15" max="15" width="11.8738738738739" style="2" customWidth="1"/>
    <col min="16" max="16" width="14.6216216216216" style="2" customWidth="1"/>
    <col min="17" max="17" width="17.3783783783784" style="2" customWidth="1"/>
    <col min="18" max="21" width="12.6396396396396" style="2" customWidth="1"/>
    <col min="22" max="22" width="6.37837837837838" style="2" hidden="1" customWidth="1"/>
    <col min="23" max="26" width="12.6396396396396" style="2" customWidth="1"/>
    <col min="27" max="27" width="11.7567567567568" style="2" customWidth="1"/>
    <col min="28" max="28" width="16" style="2" customWidth="1"/>
    <col min="29" max="29" width="11.5045045045045" style="2" customWidth="1"/>
    <col min="30" max="30" width="12.6396396396396" style="2" customWidth="1"/>
    <col min="31" max="31" width="11.6486486486486" style="2" customWidth="1"/>
    <col min="32" max="32" width="5.79279279279279" style="2" hidden="1" customWidth="1"/>
    <col min="33" max="33" width="9.36036036036036" style="2" customWidth="1"/>
    <col min="35" max="35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NETWORKDAYS(A7,TODAY())</f>
        <v>259</v>
      </c>
      <c r="B5" s="5" t="s">
        <v>65</v>
      </c>
      <c r="C5" s="6" t="s">
        <v>66</v>
      </c>
      <c r="D5" s="5">
        <v>134</v>
      </c>
    </row>
    <row r="6" ht="19.5" customHeight="1" spans="1:27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67</v>
      </c>
      <c r="L6" s="9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10" t="s">
        <v>36</v>
      </c>
      <c r="R6" s="10" t="s">
        <v>37</v>
      </c>
      <c r="S6" s="5"/>
      <c r="T6" s="5"/>
      <c r="U6" s="5"/>
      <c r="V6" s="5"/>
      <c r="W6" s="5"/>
      <c r="X6" s="5"/>
      <c r="Y6" s="5"/>
      <c r="Z6" s="5"/>
      <c r="AA6" s="5"/>
    </row>
    <row r="7" ht="21.75" customHeight="1" spans="1:22">
      <c r="A7" s="25">
        <v>45229</v>
      </c>
      <c r="B7" s="16">
        <f>IF(C7=0,0,(SUMIFS(P7:P13,M7:M13,"买入")+SUM(Q7:Q13)+SUM(R7:R13)-SUMIFS(P7:P13,M7:M13,"卖出"))/C7)</f>
        <v>0</v>
      </c>
      <c r="C7" s="5">
        <f>SUMIFS(O7:O13,M7:M13,"买入")-SUMIFS(O7:O13,M7:M13,"卖出")</f>
        <v>0</v>
      </c>
      <c r="D7" s="5">
        <v>157.226572</v>
      </c>
      <c r="E7" s="5">
        <v>133.72</v>
      </c>
      <c r="F7" s="5">
        <v>200</v>
      </c>
      <c r="G7" s="22">
        <v>45275</v>
      </c>
      <c r="H7" s="5">
        <f>SUM(Q7:Q14)+SUM(R7:R14)</f>
        <v>23.95384</v>
      </c>
      <c r="I7" s="5">
        <f>IF(F7=0,($D$5-B7)*C7-H7,(E7-D7)*F7-H7)</f>
        <v>-4725.26824</v>
      </c>
      <c r="K7" s="11" t="s">
        <v>41</v>
      </c>
      <c r="L7" s="25">
        <v>45229</v>
      </c>
      <c r="M7" s="11" t="s">
        <v>38</v>
      </c>
      <c r="N7" s="18">
        <v>157.2</v>
      </c>
      <c r="O7" s="13">
        <v>200</v>
      </c>
      <c r="P7" s="18">
        <f t="shared" ref="P7:P33" si="0">N7*O7</f>
        <v>31440</v>
      </c>
      <c r="Q7" s="18">
        <f t="shared" ref="Q7:Q33" si="1">IF(P7=0,0,IF((P7*1/10000)&lt;5,5+P7*0.1/10000,(P7*1.1/10000)))</f>
        <v>5.3144</v>
      </c>
      <c r="R7" s="18">
        <f t="shared" ref="R7:R33" si="2">IFERROR(_xlfn.IFS(M7="买入",0,M7="卖出",P7*0.5/1000),0)</f>
        <v>0</v>
      </c>
      <c r="V7" s="7" t="s">
        <v>39</v>
      </c>
    </row>
    <row r="8" ht="21.75" customHeight="1" spans="1:22">
      <c r="A8" s="7"/>
      <c r="B8" s="16"/>
      <c r="C8" s="5"/>
      <c r="D8" s="5"/>
      <c r="E8" s="5"/>
      <c r="F8" s="5"/>
      <c r="G8" s="5"/>
      <c r="H8" s="5"/>
      <c r="I8" s="5"/>
      <c r="K8" s="11"/>
      <c r="L8" s="22"/>
      <c r="M8" s="11" t="s">
        <v>40</v>
      </c>
      <c r="N8" s="18">
        <v>133.72</v>
      </c>
      <c r="O8" s="13">
        <v>200</v>
      </c>
      <c r="P8" s="18">
        <f t="shared" si="0"/>
        <v>26744</v>
      </c>
      <c r="Q8" s="18">
        <f t="shared" si="1"/>
        <v>5.26744</v>
      </c>
      <c r="R8" s="18">
        <f t="shared" si="2"/>
        <v>13.372</v>
      </c>
      <c r="V8" s="7" t="s">
        <v>41</v>
      </c>
    </row>
    <row r="9" ht="21.75" customHeight="1" spans="1:32">
      <c r="A9" s="22"/>
      <c r="B9" s="16"/>
      <c r="C9" s="5"/>
      <c r="D9" s="5"/>
      <c r="E9" s="5"/>
      <c r="F9" s="5"/>
      <c r="G9" s="22"/>
      <c r="H9" s="5"/>
      <c r="I9" s="5"/>
      <c r="K9" s="11"/>
      <c r="L9" s="22"/>
      <c r="M9" s="11"/>
      <c r="N9" s="18"/>
      <c r="O9" s="13"/>
      <c r="P9" s="18">
        <f t="shared" si="0"/>
        <v>0</v>
      </c>
      <c r="Q9" s="18">
        <f t="shared" si="1"/>
        <v>0</v>
      </c>
      <c r="R9" s="18">
        <f t="shared" si="2"/>
        <v>0</v>
      </c>
      <c r="AF9" t="s">
        <v>38</v>
      </c>
    </row>
    <row r="10" ht="21.75" customHeight="1" spans="4:32">
      <c r="D10" s="5"/>
      <c r="E10" s="5"/>
      <c r="F10" s="5"/>
      <c r="K10" s="11"/>
      <c r="L10" s="22"/>
      <c r="M10" s="11"/>
      <c r="N10" s="18"/>
      <c r="O10" s="13"/>
      <c r="P10" s="18">
        <f t="shared" si="0"/>
        <v>0</v>
      </c>
      <c r="Q10" s="18">
        <f t="shared" si="1"/>
        <v>0</v>
      </c>
      <c r="R10" s="18">
        <f t="shared" si="2"/>
        <v>0</v>
      </c>
      <c r="AF10" t="s">
        <v>40</v>
      </c>
    </row>
    <row r="11" ht="21.75" customHeight="1" spans="4:18">
      <c r="D11" s="5"/>
      <c r="E11" s="5"/>
      <c r="F11" s="5"/>
      <c r="K11" s="11"/>
      <c r="L11" s="22"/>
      <c r="M11" s="11"/>
      <c r="N11" s="18"/>
      <c r="O11" s="13"/>
      <c r="P11" s="18">
        <f t="shared" si="0"/>
        <v>0</v>
      </c>
      <c r="Q11" s="18">
        <f t="shared" si="1"/>
        <v>0</v>
      </c>
      <c r="R11" s="18">
        <f t="shared" si="2"/>
        <v>0</v>
      </c>
    </row>
    <row r="12" ht="21.75" customHeight="1" spans="4:18">
      <c r="D12" s="5"/>
      <c r="E12" s="5"/>
      <c r="F12" s="5"/>
      <c r="K12" s="11"/>
      <c r="L12" s="22"/>
      <c r="M12" s="11"/>
      <c r="N12" s="18"/>
      <c r="O12" s="13"/>
      <c r="P12" s="18">
        <f t="shared" si="0"/>
        <v>0</v>
      </c>
      <c r="Q12" s="18">
        <f t="shared" si="1"/>
        <v>0</v>
      </c>
      <c r="R12" s="18">
        <f t="shared" si="2"/>
        <v>0</v>
      </c>
    </row>
    <row r="13" ht="21.75" customHeight="1" spans="4:18">
      <c r="D13" s="5"/>
      <c r="E13" s="5"/>
      <c r="F13" s="5"/>
      <c r="K13" s="11"/>
      <c r="L13" s="22"/>
      <c r="M13" s="11"/>
      <c r="N13" s="18"/>
      <c r="O13" s="13"/>
      <c r="P13" s="18">
        <f t="shared" si="0"/>
        <v>0</v>
      </c>
      <c r="Q13" s="18">
        <f t="shared" si="1"/>
        <v>0</v>
      </c>
      <c r="R13" s="18">
        <f t="shared" si="2"/>
        <v>0</v>
      </c>
    </row>
    <row r="14" ht="21.75" customHeight="1" spans="4:18">
      <c r="D14" s="5"/>
      <c r="E14" s="5"/>
      <c r="F14" s="5"/>
      <c r="K14" s="11"/>
      <c r="L14" s="22"/>
      <c r="M14" s="11"/>
      <c r="N14" s="18"/>
      <c r="O14" s="13"/>
      <c r="P14" s="18">
        <f t="shared" si="0"/>
        <v>0</v>
      </c>
      <c r="Q14" s="18">
        <f t="shared" si="1"/>
        <v>0</v>
      </c>
      <c r="R14" s="18">
        <f t="shared" si="2"/>
        <v>0</v>
      </c>
    </row>
    <row r="15" ht="21.75" customHeight="1" spans="4:18">
      <c r="D15" s="5"/>
      <c r="E15" s="5"/>
      <c r="F15" s="5"/>
      <c r="K15" s="11"/>
      <c r="L15" s="22"/>
      <c r="M15" s="11"/>
      <c r="N15" s="18"/>
      <c r="O15" s="13"/>
      <c r="P15" s="18">
        <f t="shared" si="0"/>
        <v>0</v>
      </c>
      <c r="Q15" s="18">
        <f t="shared" si="1"/>
        <v>0</v>
      </c>
      <c r="R15" s="18">
        <f t="shared" si="2"/>
        <v>0</v>
      </c>
    </row>
    <row r="16" ht="21.75" customHeight="1" spans="4:18">
      <c r="D16" s="5"/>
      <c r="E16" s="5"/>
      <c r="F16" s="5"/>
      <c r="K16" s="11"/>
      <c r="L16" s="22"/>
      <c r="M16" s="11"/>
      <c r="N16" s="18"/>
      <c r="O16" s="13"/>
      <c r="P16" s="18">
        <f t="shared" si="0"/>
        <v>0</v>
      </c>
      <c r="Q16" s="18">
        <f t="shared" si="1"/>
        <v>0</v>
      </c>
      <c r="R16" s="18">
        <f t="shared" si="2"/>
        <v>0</v>
      </c>
    </row>
    <row r="17" ht="21.75" customHeight="1" spans="4:29">
      <c r="D17" s="5"/>
      <c r="E17" s="5"/>
      <c r="F17" s="5"/>
      <c r="K17" s="11"/>
      <c r="L17" s="22"/>
      <c r="M17" s="11"/>
      <c r="N17" s="18"/>
      <c r="O17" s="13"/>
      <c r="P17" s="18">
        <f t="shared" si="0"/>
        <v>0</v>
      </c>
      <c r="Q17" s="18">
        <f t="shared" si="1"/>
        <v>0</v>
      </c>
      <c r="R17" s="18">
        <f t="shared" si="2"/>
        <v>0</v>
      </c>
      <c r="AB17" s="24"/>
      <c r="AC17" s="18"/>
    </row>
    <row r="18" ht="21.75" customHeight="1" spans="4:28">
      <c r="D18" s="5"/>
      <c r="E18" s="5"/>
      <c r="F18" s="5"/>
      <c r="K18" s="11"/>
      <c r="L18" s="22"/>
      <c r="M18" s="11"/>
      <c r="N18" s="18"/>
      <c r="O18" s="13"/>
      <c r="P18" s="18">
        <f t="shared" si="0"/>
        <v>0</v>
      </c>
      <c r="Q18" s="18">
        <f t="shared" si="1"/>
        <v>0</v>
      </c>
      <c r="R18" s="18">
        <f t="shared" si="2"/>
        <v>0</v>
      </c>
      <c r="AB18" s="24"/>
    </row>
    <row r="19" ht="21.75" customHeight="1" spans="4:18">
      <c r="D19" s="5"/>
      <c r="E19" s="5"/>
      <c r="F19" s="5"/>
      <c r="K19" s="11"/>
      <c r="L19" s="22"/>
      <c r="M19" s="11"/>
      <c r="N19" s="18"/>
      <c r="O19" s="13"/>
      <c r="P19" s="18">
        <f t="shared" si="0"/>
        <v>0</v>
      </c>
      <c r="Q19" s="18">
        <f t="shared" si="1"/>
        <v>0</v>
      </c>
      <c r="R19" s="18">
        <f t="shared" si="2"/>
        <v>0</v>
      </c>
    </row>
    <row r="20" ht="21.75" customHeight="1" spans="4:18">
      <c r="D20" s="5"/>
      <c r="E20" s="5"/>
      <c r="F20" s="5"/>
      <c r="K20" s="11"/>
      <c r="L20" s="22"/>
      <c r="M20" s="11"/>
      <c r="N20" s="18"/>
      <c r="O20" s="13"/>
      <c r="P20" s="18">
        <f t="shared" si="0"/>
        <v>0</v>
      </c>
      <c r="Q20" s="18">
        <f t="shared" si="1"/>
        <v>0</v>
      </c>
      <c r="R20" s="18">
        <f t="shared" si="2"/>
        <v>0</v>
      </c>
    </row>
    <row r="21" ht="21.75" customHeight="1" spans="4:18">
      <c r="D21" s="5"/>
      <c r="E21" s="5"/>
      <c r="F21" s="5"/>
      <c r="K21" s="11"/>
      <c r="L21" s="22"/>
      <c r="M21" s="11"/>
      <c r="N21" s="18"/>
      <c r="O21" s="13"/>
      <c r="P21" s="18">
        <f t="shared" si="0"/>
        <v>0</v>
      </c>
      <c r="Q21" s="18">
        <f t="shared" si="1"/>
        <v>0</v>
      </c>
      <c r="R21" s="18">
        <f t="shared" si="2"/>
        <v>0</v>
      </c>
    </row>
    <row r="22" ht="21.75" customHeight="1" spans="4:18">
      <c r="D22" s="5"/>
      <c r="E22" s="5"/>
      <c r="F22" s="5"/>
      <c r="K22" s="11"/>
      <c r="L22" s="22"/>
      <c r="M22" s="11"/>
      <c r="N22" s="18"/>
      <c r="O22" s="13"/>
      <c r="P22" s="18">
        <f t="shared" si="0"/>
        <v>0</v>
      </c>
      <c r="Q22" s="18">
        <f t="shared" si="1"/>
        <v>0</v>
      </c>
      <c r="R22" s="18">
        <f t="shared" si="2"/>
        <v>0</v>
      </c>
    </row>
    <row r="23" ht="21.75" customHeight="1" spans="4:18">
      <c r="D23" s="5"/>
      <c r="E23" s="5"/>
      <c r="F23" s="5"/>
      <c r="K23" s="11"/>
      <c r="L23" s="22"/>
      <c r="M23" s="11"/>
      <c r="N23" s="18"/>
      <c r="O23" s="13"/>
      <c r="P23" s="18">
        <f t="shared" si="0"/>
        <v>0</v>
      </c>
      <c r="Q23" s="18">
        <f t="shared" si="1"/>
        <v>0</v>
      </c>
      <c r="R23" s="18">
        <f t="shared" si="2"/>
        <v>0</v>
      </c>
    </row>
    <row r="24" ht="21.75" customHeight="1" spans="4:18">
      <c r="D24" s="5"/>
      <c r="E24" s="5"/>
      <c r="F24" s="5"/>
      <c r="K24" s="11"/>
      <c r="L24" s="22"/>
      <c r="M24" s="11"/>
      <c r="N24" s="18"/>
      <c r="O24" s="13"/>
      <c r="P24" s="18">
        <f t="shared" si="0"/>
        <v>0</v>
      </c>
      <c r="Q24" s="18">
        <f t="shared" si="1"/>
        <v>0</v>
      </c>
      <c r="R24" s="18">
        <f t="shared" si="2"/>
        <v>0</v>
      </c>
    </row>
    <row r="25" ht="21.75" customHeight="1" spans="4:18">
      <c r="D25" s="5"/>
      <c r="E25" s="5"/>
      <c r="F25" s="5"/>
      <c r="K25" s="11"/>
      <c r="L25" s="22"/>
      <c r="M25" s="11"/>
      <c r="N25" s="18"/>
      <c r="O25" s="13"/>
      <c r="P25" s="18">
        <f t="shared" si="0"/>
        <v>0</v>
      </c>
      <c r="Q25" s="18">
        <f t="shared" si="1"/>
        <v>0</v>
      </c>
      <c r="R25" s="18">
        <f t="shared" si="2"/>
        <v>0</v>
      </c>
    </row>
    <row r="26" ht="21.75" customHeight="1" spans="4:18">
      <c r="D26" s="5"/>
      <c r="E26" s="5"/>
      <c r="F26" s="5"/>
      <c r="K26" s="11"/>
      <c r="L26" s="22"/>
      <c r="M26" s="11"/>
      <c r="N26" s="18"/>
      <c r="O26" s="13"/>
      <c r="P26" s="18">
        <f t="shared" si="0"/>
        <v>0</v>
      </c>
      <c r="Q26" s="18">
        <f t="shared" si="1"/>
        <v>0</v>
      </c>
      <c r="R26" s="18">
        <f t="shared" si="2"/>
        <v>0</v>
      </c>
    </row>
    <row r="27" ht="21.75" customHeight="1" spans="4:18">
      <c r="D27" s="5"/>
      <c r="E27" s="5"/>
      <c r="F27" s="5"/>
      <c r="K27" s="11"/>
      <c r="L27" s="22"/>
      <c r="M27" s="11"/>
      <c r="N27" s="18"/>
      <c r="O27" s="13"/>
      <c r="P27" s="18">
        <f t="shared" si="0"/>
        <v>0</v>
      </c>
      <c r="Q27" s="18">
        <f t="shared" si="1"/>
        <v>0</v>
      </c>
      <c r="R27" s="18">
        <f t="shared" si="2"/>
        <v>0</v>
      </c>
    </row>
    <row r="28" ht="21.75" customHeight="1" spans="4:18">
      <c r="D28" s="5"/>
      <c r="E28" s="5"/>
      <c r="F28" s="5"/>
      <c r="K28" s="11"/>
      <c r="L28" s="22"/>
      <c r="M28" s="11"/>
      <c r="N28" s="18"/>
      <c r="O28" s="13"/>
      <c r="P28" s="18">
        <f t="shared" si="0"/>
        <v>0</v>
      </c>
      <c r="Q28" s="18">
        <f t="shared" si="1"/>
        <v>0</v>
      </c>
      <c r="R28" s="18">
        <f t="shared" si="2"/>
        <v>0</v>
      </c>
    </row>
    <row r="29" ht="21.75" customHeight="1" spans="4:18">
      <c r="D29" s="5"/>
      <c r="E29" s="5"/>
      <c r="F29" s="5"/>
      <c r="K29" s="11"/>
      <c r="L29" s="22"/>
      <c r="M29" s="11"/>
      <c r="N29" s="18"/>
      <c r="O29" s="13"/>
      <c r="P29" s="18">
        <f t="shared" si="0"/>
        <v>0</v>
      </c>
      <c r="Q29" s="18">
        <f t="shared" si="1"/>
        <v>0</v>
      </c>
      <c r="R29" s="18">
        <f t="shared" si="2"/>
        <v>0</v>
      </c>
    </row>
    <row r="30" ht="21.75" customHeight="1" spans="4:18">
      <c r="D30" s="5"/>
      <c r="E30" s="5"/>
      <c r="F30" s="5"/>
      <c r="K30" s="11"/>
      <c r="L30" s="22"/>
      <c r="M30" s="11"/>
      <c r="N30" s="18"/>
      <c r="O30" s="13"/>
      <c r="P30" s="18">
        <f t="shared" si="0"/>
        <v>0</v>
      </c>
      <c r="Q30" s="18">
        <f t="shared" si="1"/>
        <v>0</v>
      </c>
      <c r="R30" s="18">
        <f t="shared" si="2"/>
        <v>0</v>
      </c>
    </row>
    <row r="31" ht="21.75" customHeight="1" spans="4:18">
      <c r="D31" s="5"/>
      <c r="E31" s="5"/>
      <c r="F31" s="5"/>
      <c r="K31" s="11"/>
      <c r="L31" s="22"/>
      <c r="M31" s="11"/>
      <c r="N31" s="18"/>
      <c r="O31" s="13"/>
      <c r="P31" s="18">
        <f t="shared" si="0"/>
        <v>0</v>
      </c>
      <c r="Q31" s="18">
        <f t="shared" si="1"/>
        <v>0</v>
      </c>
      <c r="R31" s="18">
        <f t="shared" si="2"/>
        <v>0</v>
      </c>
    </row>
    <row r="32" ht="21.75" customHeight="1" spans="4:18">
      <c r="D32" s="5"/>
      <c r="E32" s="5"/>
      <c r="F32" s="5"/>
      <c r="K32" s="11"/>
      <c r="L32" s="22"/>
      <c r="M32" s="11"/>
      <c r="N32" s="18"/>
      <c r="O32" s="13"/>
      <c r="P32" s="18">
        <f t="shared" si="0"/>
        <v>0</v>
      </c>
      <c r="Q32" s="18">
        <f t="shared" si="1"/>
        <v>0</v>
      </c>
      <c r="R32" s="18">
        <f t="shared" si="2"/>
        <v>0</v>
      </c>
    </row>
    <row r="33" ht="21.75" customHeight="1" spans="4:18">
      <c r="D33" s="5"/>
      <c r="E33" s="5"/>
      <c r="F33" s="5"/>
      <c r="K33" s="11"/>
      <c r="L33" s="22"/>
      <c r="M33" s="11"/>
      <c r="N33" s="18"/>
      <c r="O33" s="13"/>
      <c r="P33" s="18">
        <f t="shared" si="0"/>
        <v>0</v>
      </c>
      <c r="Q33" s="18">
        <f t="shared" si="1"/>
        <v>0</v>
      </c>
      <c r="R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2">
    <dataValidation type="list" showInputMessage="1" showErrorMessage="1" sqref="M7:M33">
      <formula1>$AF$9:$AF$10</formula1>
    </dataValidation>
    <dataValidation type="list" showInputMessage="1" showErrorMessage="1" sqref="K7:K33">
      <formula1>$V$7:$V$8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workbookViewId="0">
      <selection activeCell="I7" sqref="I7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9" width="11.8738738738739" style="2" customWidth="1"/>
    <col min="10" max="10" width="2.74774774774775" style="2" customWidth="1"/>
    <col min="11" max="11" width="6.62162162162162" style="2" customWidth="1"/>
    <col min="12" max="12" width="14.6216216216216" style="2" customWidth="1"/>
    <col min="13" max="14" width="12.6396396396396" style="2" customWidth="1"/>
    <col min="15" max="15" width="11.8738738738739" style="2" customWidth="1"/>
    <col min="16" max="16" width="14.6216216216216" style="2" customWidth="1"/>
    <col min="17" max="17" width="17.3783783783784" style="2" customWidth="1"/>
    <col min="18" max="21" width="12.6396396396396" style="2" customWidth="1"/>
    <col min="22" max="22" width="6.37837837837838" style="2" hidden="1" customWidth="1"/>
    <col min="23" max="26" width="12.6396396396396" style="2" customWidth="1"/>
    <col min="27" max="27" width="11.7567567567568" style="2" customWidth="1"/>
    <col min="28" max="28" width="16" style="2" customWidth="1"/>
    <col min="29" max="29" width="11.5045045045045" style="2" customWidth="1"/>
    <col min="30" max="30" width="12.6396396396396" style="2" customWidth="1"/>
    <col min="31" max="31" width="11.6486486486486" style="2" customWidth="1"/>
    <col min="32" max="32" width="5.79279279279279" style="2" hidden="1" customWidth="1"/>
    <col min="33" max="33" width="9.36036036036036" style="2" customWidth="1"/>
    <col min="35" max="35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NETWORKDAYS(A7,TODAY())</f>
        <v>237</v>
      </c>
      <c r="B5" s="5" t="s">
        <v>68</v>
      </c>
      <c r="C5" s="6" t="s">
        <v>69</v>
      </c>
      <c r="D5" s="5">
        <v>18.54</v>
      </c>
    </row>
    <row r="6" ht="19.5" customHeight="1" spans="1:27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67</v>
      </c>
      <c r="L6" s="9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10" t="s">
        <v>36</v>
      </c>
      <c r="R6" s="10" t="s">
        <v>37</v>
      </c>
      <c r="S6" s="5"/>
      <c r="T6" s="5"/>
      <c r="U6" s="5"/>
      <c r="V6" s="5"/>
      <c r="W6" s="5"/>
      <c r="X6" s="5"/>
      <c r="Y6" s="5"/>
      <c r="Z6" s="5"/>
      <c r="AA6" s="5"/>
    </row>
    <row r="7" ht="21.75" customHeight="1" spans="1:22">
      <c r="A7" s="25">
        <v>45259</v>
      </c>
      <c r="B7" s="16">
        <f>IF(C7=0,0,(SUMIFS(P7:P13,M7:M13,"买入")+SUM(Q7:Q13)+SUM(R7:R13)-SUMIFS(P7:P13,M7:M13,"卖出"))/C7)</f>
        <v>19.4494333684211</v>
      </c>
      <c r="C7" s="5">
        <f>SUMIFS(O7:O13,M7:M13,"买入")-SUMIFS(O7:O13,M7:M13,"卖出")</f>
        <v>3800</v>
      </c>
      <c r="D7" s="5"/>
      <c r="E7" s="5"/>
      <c r="F7" s="5"/>
      <c r="G7" s="22"/>
      <c r="H7" s="5">
        <f>SUM(Q7:Q14)+SUM(R7:R14)</f>
        <v>27.8468</v>
      </c>
      <c r="I7" s="5">
        <f>IF(F7=0,($D$5-B7)*C7-H7,(E7-D7)*F7-H7)</f>
        <v>-3483.6936</v>
      </c>
      <c r="K7" s="11" t="s">
        <v>41</v>
      </c>
      <c r="L7" s="25">
        <v>45259</v>
      </c>
      <c r="M7" s="11" t="s">
        <v>38</v>
      </c>
      <c r="N7" s="18">
        <v>19.5</v>
      </c>
      <c r="O7" s="13">
        <v>3800</v>
      </c>
      <c r="P7" s="18">
        <f t="shared" ref="P7:P33" si="0">N7*O7</f>
        <v>74100</v>
      </c>
      <c r="Q7" s="18">
        <f t="shared" ref="Q7:Q33" si="1">IF(P7=0,0,IF((P7*1/10000)&lt;5,5+P7*0.1/10000,(P7*1.1/10000)))</f>
        <v>8.151</v>
      </c>
      <c r="R7" s="18">
        <f t="shared" ref="R7:R33" si="2">IFERROR(_xlfn.IFS(M7="买入",0,M7="卖出",P7*0.5/1000),0)</f>
        <v>0</v>
      </c>
      <c r="V7" s="7" t="s">
        <v>39</v>
      </c>
    </row>
    <row r="8" ht="21.75" customHeight="1" spans="1:22">
      <c r="A8" s="7"/>
      <c r="B8" s="16"/>
      <c r="C8" s="5"/>
      <c r="D8" s="5"/>
      <c r="E8" s="5"/>
      <c r="F8" s="5"/>
      <c r="G8" s="5"/>
      <c r="H8" s="5"/>
      <c r="I8" s="5"/>
      <c r="K8" s="11"/>
      <c r="L8" s="22">
        <v>45279</v>
      </c>
      <c r="M8" s="11" t="s">
        <v>40</v>
      </c>
      <c r="N8" s="18">
        <v>18.65</v>
      </c>
      <c r="O8" s="13">
        <v>1000</v>
      </c>
      <c r="P8" s="18">
        <f t="shared" si="0"/>
        <v>18650</v>
      </c>
      <c r="Q8" s="18">
        <f t="shared" si="1"/>
        <v>5.1865</v>
      </c>
      <c r="R8" s="18">
        <f t="shared" si="2"/>
        <v>9.325</v>
      </c>
      <c r="V8" s="7" t="s">
        <v>41</v>
      </c>
    </row>
    <row r="9" ht="21.75" customHeight="1" spans="1:32">
      <c r="A9" s="22"/>
      <c r="B9" s="16"/>
      <c r="C9" s="5"/>
      <c r="D9" s="5"/>
      <c r="E9" s="5"/>
      <c r="F9" s="5"/>
      <c r="G9" s="22"/>
      <c r="H9" s="5"/>
      <c r="I9" s="5"/>
      <c r="K9" s="11"/>
      <c r="L9" s="22">
        <v>45280</v>
      </c>
      <c r="M9" s="11" t="s">
        <v>38</v>
      </c>
      <c r="N9" s="18">
        <v>18.43</v>
      </c>
      <c r="O9" s="13">
        <v>1000</v>
      </c>
      <c r="P9" s="18">
        <f t="shared" si="0"/>
        <v>18430</v>
      </c>
      <c r="Q9" s="18">
        <f t="shared" si="1"/>
        <v>5.1843</v>
      </c>
      <c r="R9" s="18">
        <f t="shared" si="2"/>
        <v>0</v>
      </c>
      <c r="AF9" t="s">
        <v>38</v>
      </c>
    </row>
    <row r="10" ht="21.75" customHeight="1" spans="4:32">
      <c r="D10" s="5"/>
      <c r="E10" s="5"/>
      <c r="F10" s="5"/>
      <c r="K10" s="11"/>
      <c r="L10" s="22"/>
      <c r="M10" s="11"/>
      <c r="N10" s="18"/>
      <c r="O10" s="13"/>
      <c r="P10" s="18">
        <f t="shared" si="0"/>
        <v>0</v>
      </c>
      <c r="Q10" s="18">
        <f t="shared" si="1"/>
        <v>0</v>
      </c>
      <c r="R10" s="18">
        <f t="shared" si="2"/>
        <v>0</v>
      </c>
      <c r="AF10" t="s">
        <v>40</v>
      </c>
    </row>
    <row r="11" ht="21.75" customHeight="1" spans="4:18">
      <c r="D11" s="5"/>
      <c r="E11" s="5"/>
      <c r="F11" s="5"/>
      <c r="K11" s="11"/>
      <c r="L11" s="22"/>
      <c r="M11" s="11"/>
      <c r="N11" s="18"/>
      <c r="O11" s="13"/>
      <c r="P11" s="18">
        <f t="shared" si="0"/>
        <v>0</v>
      </c>
      <c r="Q11" s="18">
        <f t="shared" si="1"/>
        <v>0</v>
      </c>
      <c r="R11" s="18">
        <f t="shared" si="2"/>
        <v>0</v>
      </c>
    </row>
    <row r="12" ht="21.75" customHeight="1" spans="4:18">
      <c r="D12" s="5"/>
      <c r="E12" s="5"/>
      <c r="F12" s="5"/>
      <c r="K12" s="11"/>
      <c r="L12" s="22"/>
      <c r="M12" s="11"/>
      <c r="N12" s="18"/>
      <c r="O12" s="13"/>
      <c r="P12" s="18">
        <f t="shared" si="0"/>
        <v>0</v>
      </c>
      <c r="Q12" s="18">
        <f t="shared" si="1"/>
        <v>0</v>
      </c>
      <c r="R12" s="18">
        <f t="shared" si="2"/>
        <v>0</v>
      </c>
    </row>
    <row r="13" ht="21.75" customHeight="1" spans="4:18">
      <c r="D13" s="5"/>
      <c r="E13" s="5"/>
      <c r="F13" s="5"/>
      <c r="K13" s="11"/>
      <c r="L13" s="22"/>
      <c r="M13" s="11"/>
      <c r="N13" s="18"/>
      <c r="O13" s="13"/>
      <c r="P13" s="18">
        <f t="shared" si="0"/>
        <v>0</v>
      </c>
      <c r="Q13" s="18">
        <f t="shared" si="1"/>
        <v>0</v>
      </c>
      <c r="R13" s="18">
        <f t="shared" si="2"/>
        <v>0</v>
      </c>
    </row>
    <row r="14" ht="21.75" customHeight="1" spans="4:18">
      <c r="D14" s="5"/>
      <c r="E14" s="5"/>
      <c r="F14" s="5"/>
      <c r="K14" s="11"/>
      <c r="L14" s="22"/>
      <c r="M14" s="11"/>
      <c r="N14" s="18"/>
      <c r="O14" s="13"/>
      <c r="P14" s="18">
        <f t="shared" si="0"/>
        <v>0</v>
      </c>
      <c r="Q14" s="18">
        <f t="shared" si="1"/>
        <v>0</v>
      </c>
      <c r="R14" s="18">
        <f t="shared" si="2"/>
        <v>0</v>
      </c>
    </row>
    <row r="15" ht="21.75" customHeight="1" spans="4:18">
      <c r="D15" s="5"/>
      <c r="E15" s="5"/>
      <c r="F15" s="5"/>
      <c r="K15" s="11"/>
      <c r="L15" s="22"/>
      <c r="M15" s="11"/>
      <c r="N15" s="18"/>
      <c r="O15" s="13"/>
      <c r="P15" s="18">
        <f t="shared" si="0"/>
        <v>0</v>
      </c>
      <c r="Q15" s="18">
        <f t="shared" si="1"/>
        <v>0</v>
      </c>
      <c r="R15" s="18">
        <f t="shared" si="2"/>
        <v>0</v>
      </c>
    </row>
    <row r="16" ht="21.75" customHeight="1" spans="4:18">
      <c r="D16" s="5"/>
      <c r="E16" s="5"/>
      <c r="F16" s="5"/>
      <c r="K16" s="11"/>
      <c r="L16" s="22"/>
      <c r="M16" s="11"/>
      <c r="N16" s="18"/>
      <c r="O16" s="13"/>
      <c r="P16" s="18">
        <f t="shared" si="0"/>
        <v>0</v>
      </c>
      <c r="Q16" s="18">
        <f t="shared" si="1"/>
        <v>0</v>
      </c>
      <c r="R16" s="18">
        <f t="shared" si="2"/>
        <v>0</v>
      </c>
    </row>
    <row r="17" ht="21.75" customHeight="1" spans="4:29">
      <c r="D17" s="5"/>
      <c r="E17" s="5"/>
      <c r="F17" s="5"/>
      <c r="K17" s="11"/>
      <c r="L17" s="22"/>
      <c r="M17" s="11"/>
      <c r="N17" s="18"/>
      <c r="O17" s="13"/>
      <c r="P17" s="18">
        <f t="shared" si="0"/>
        <v>0</v>
      </c>
      <c r="Q17" s="18">
        <f t="shared" si="1"/>
        <v>0</v>
      </c>
      <c r="R17" s="18">
        <f t="shared" si="2"/>
        <v>0</v>
      </c>
      <c r="AB17" s="24"/>
      <c r="AC17" s="18"/>
    </row>
    <row r="18" ht="21.75" customHeight="1" spans="4:28">
      <c r="D18" s="5"/>
      <c r="E18" s="5"/>
      <c r="F18" s="5"/>
      <c r="K18" s="11"/>
      <c r="L18" s="22"/>
      <c r="M18" s="11"/>
      <c r="N18" s="18"/>
      <c r="O18" s="13"/>
      <c r="P18" s="18">
        <f t="shared" si="0"/>
        <v>0</v>
      </c>
      <c r="Q18" s="18">
        <f t="shared" si="1"/>
        <v>0</v>
      </c>
      <c r="R18" s="18">
        <f t="shared" si="2"/>
        <v>0</v>
      </c>
      <c r="AB18" s="24"/>
    </row>
    <row r="19" ht="21.75" customHeight="1" spans="4:18">
      <c r="D19" s="5"/>
      <c r="E19" s="5"/>
      <c r="F19" s="5"/>
      <c r="K19" s="11"/>
      <c r="L19" s="22"/>
      <c r="M19" s="11"/>
      <c r="N19" s="18"/>
      <c r="O19" s="13"/>
      <c r="P19" s="18">
        <f t="shared" si="0"/>
        <v>0</v>
      </c>
      <c r="Q19" s="18">
        <f t="shared" si="1"/>
        <v>0</v>
      </c>
      <c r="R19" s="18">
        <f t="shared" si="2"/>
        <v>0</v>
      </c>
    </row>
    <row r="20" ht="21.75" customHeight="1" spans="4:18">
      <c r="D20" s="5"/>
      <c r="E20" s="5"/>
      <c r="F20" s="5"/>
      <c r="K20" s="11"/>
      <c r="L20" s="22"/>
      <c r="M20" s="11"/>
      <c r="N20" s="18"/>
      <c r="O20" s="13"/>
      <c r="P20" s="18">
        <f t="shared" si="0"/>
        <v>0</v>
      </c>
      <c r="Q20" s="18">
        <f t="shared" si="1"/>
        <v>0</v>
      </c>
      <c r="R20" s="18">
        <f t="shared" si="2"/>
        <v>0</v>
      </c>
    </row>
    <row r="21" ht="21.75" customHeight="1" spans="4:18">
      <c r="D21" s="5"/>
      <c r="E21" s="5"/>
      <c r="F21" s="5"/>
      <c r="K21" s="11"/>
      <c r="L21" s="22"/>
      <c r="M21" s="11"/>
      <c r="N21" s="18"/>
      <c r="O21" s="13"/>
      <c r="P21" s="18">
        <f t="shared" si="0"/>
        <v>0</v>
      </c>
      <c r="Q21" s="18">
        <f t="shared" si="1"/>
        <v>0</v>
      </c>
      <c r="R21" s="18">
        <f t="shared" si="2"/>
        <v>0</v>
      </c>
    </row>
    <row r="22" ht="21.75" customHeight="1" spans="4:18">
      <c r="D22" s="5"/>
      <c r="E22" s="5"/>
      <c r="F22" s="5"/>
      <c r="K22" s="11"/>
      <c r="L22" s="22"/>
      <c r="M22" s="11"/>
      <c r="N22" s="18"/>
      <c r="O22" s="13"/>
      <c r="P22" s="18">
        <f t="shared" si="0"/>
        <v>0</v>
      </c>
      <c r="Q22" s="18">
        <f t="shared" si="1"/>
        <v>0</v>
      </c>
      <c r="R22" s="18">
        <f t="shared" si="2"/>
        <v>0</v>
      </c>
    </row>
    <row r="23" ht="21.75" customHeight="1" spans="4:18">
      <c r="D23" s="5"/>
      <c r="E23" s="5"/>
      <c r="F23" s="5"/>
      <c r="K23" s="11"/>
      <c r="L23" s="22"/>
      <c r="M23" s="11"/>
      <c r="N23" s="18"/>
      <c r="O23" s="13"/>
      <c r="P23" s="18">
        <f t="shared" si="0"/>
        <v>0</v>
      </c>
      <c r="Q23" s="18">
        <f t="shared" si="1"/>
        <v>0</v>
      </c>
      <c r="R23" s="18">
        <f t="shared" si="2"/>
        <v>0</v>
      </c>
    </row>
    <row r="24" ht="21.75" customHeight="1" spans="4:18">
      <c r="D24" s="5"/>
      <c r="E24" s="5"/>
      <c r="F24" s="5"/>
      <c r="K24" s="11"/>
      <c r="L24" s="22"/>
      <c r="M24" s="11"/>
      <c r="N24" s="18"/>
      <c r="O24" s="13"/>
      <c r="P24" s="18">
        <f t="shared" si="0"/>
        <v>0</v>
      </c>
      <c r="Q24" s="18">
        <f t="shared" si="1"/>
        <v>0</v>
      </c>
      <c r="R24" s="18">
        <f t="shared" si="2"/>
        <v>0</v>
      </c>
    </row>
    <row r="25" ht="21.75" customHeight="1" spans="4:18">
      <c r="D25" s="5"/>
      <c r="E25" s="5"/>
      <c r="F25" s="5"/>
      <c r="K25" s="11"/>
      <c r="L25" s="22"/>
      <c r="M25" s="11"/>
      <c r="N25" s="18"/>
      <c r="O25" s="13"/>
      <c r="P25" s="18">
        <f t="shared" si="0"/>
        <v>0</v>
      </c>
      <c r="Q25" s="18">
        <f t="shared" si="1"/>
        <v>0</v>
      </c>
      <c r="R25" s="18">
        <f t="shared" si="2"/>
        <v>0</v>
      </c>
    </row>
    <row r="26" ht="21.75" customHeight="1" spans="4:18">
      <c r="D26" s="5"/>
      <c r="E26" s="5"/>
      <c r="F26" s="5"/>
      <c r="K26" s="11"/>
      <c r="L26" s="22"/>
      <c r="M26" s="11"/>
      <c r="N26" s="18"/>
      <c r="O26" s="13"/>
      <c r="P26" s="18">
        <f t="shared" si="0"/>
        <v>0</v>
      </c>
      <c r="Q26" s="18">
        <f t="shared" si="1"/>
        <v>0</v>
      </c>
      <c r="R26" s="18">
        <f t="shared" si="2"/>
        <v>0</v>
      </c>
    </row>
    <row r="27" ht="21.75" customHeight="1" spans="4:18">
      <c r="D27" s="5"/>
      <c r="E27" s="5"/>
      <c r="F27" s="5"/>
      <c r="K27" s="11"/>
      <c r="L27" s="22"/>
      <c r="M27" s="11"/>
      <c r="N27" s="18"/>
      <c r="O27" s="13"/>
      <c r="P27" s="18">
        <f t="shared" si="0"/>
        <v>0</v>
      </c>
      <c r="Q27" s="18">
        <f t="shared" si="1"/>
        <v>0</v>
      </c>
      <c r="R27" s="18">
        <f t="shared" si="2"/>
        <v>0</v>
      </c>
    </row>
    <row r="28" ht="21.75" customHeight="1" spans="4:18">
      <c r="D28" s="5"/>
      <c r="E28" s="5"/>
      <c r="F28" s="5"/>
      <c r="K28" s="11"/>
      <c r="L28" s="22"/>
      <c r="M28" s="11"/>
      <c r="N28" s="18"/>
      <c r="O28" s="13"/>
      <c r="P28" s="18">
        <f t="shared" si="0"/>
        <v>0</v>
      </c>
      <c r="Q28" s="18">
        <f t="shared" si="1"/>
        <v>0</v>
      </c>
      <c r="R28" s="18">
        <f t="shared" si="2"/>
        <v>0</v>
      </c>
    </row>
    <row r="29" ht="21.75" customHeight="1" spans="4:18">
      <c r="D29" s="5"/>
      <c r="E29" s="5"/>
      <c r="F29" s="5"/>
      <c r="K29" s="11"/>
      <c r="L29" s="22"/>
      <c r="M29" s="11"/>
      <c r="N29" s="18"/>
      <c r="O29" s="13"/>
      <c r="P29" s="18">
        <f t="shared" si="0"/>
        <v>0</v>
      </c>
      <c r="Q29" s="18">
        <f t="shared" si="1"/>
        <v>0</v>
      </c>
      <c r="R29" s="18">
        <f t="shared" si="2"/>
        <v>0</v>
      </c>
    </row>
    <row r="30" ht="21.75" customHeight="1" spans="4:18">
      <c r="D30" s="5"/>
      <c r="E30" s="5"/>
      <c r="F30" s="5"/>
      <c r="K30" s="11"/>
      <c r="L30" s="22"/>
      <c r="M30" s="11"/>
      <c r="N30" s="18"/>
      <c r="O30" s="13"/>
      <c r="P30" s="18">
        <f t="shared" si="0"/>
        <v>0</v>
      </c>
      <c r="Q30" s="18">
        <f t="shared" si="1"/>
        <v>0</v>
      </c>
      <c r="R30" s="18">
        <f t="shared" si="2"/>
        <v>0</v>
      </c>
    </row>
    <row r="31" ht="21.75" customHeight="1" spans="4:18">
      <c r="D31" s="5"/>
      <c r="E31" s="5"/>
      <c r="F31" s="5"/>
      <c r="K31" s="11"/>
      <c r="L31" s="22"/>
      <c r="M31" s="11"/>
      <c r="N31" s="18"/>
      <c r="O31" s="13"/>
      <c r="P31" s="18">
        <f t="shared" si="0"/>
        <v>0</v>
      </c>
      <c r="Q31" s="18">
        <f t="shared" si="1"/>
        <v>0</v>
      </c>
      <c r="R31" s="18">
        <f t="shared" si="2"/>
        <v>0</v>
      </c>
    </row>
    <row r="32" ht="21.75" customHeight="1" spans="4:18">
      <c r="D32" s="5"/>
      <c r="E32" s="5"/>
      <c r="F32" s="5"/>
      <c r="K32" s="11"/>
      <c r="L32" s="22"/>
      <c r="M32" s="11"/>
      <c r="N32" s="18"/>
      <c r="O32" s="13"/>
      <c r="P32" s="18">
        <f t="shared" si="0"/>
        <v>0</v>
      </c>
      <c r="Q32" s="18">
        <f t="shared" si="1"/>
        <v>0</v>
      </c>
      <c r="R32" s="18">
        <f t="shared" si="2"/>
        <v>0</v>
      </c>
    </row>
    <row r="33" ht="21.75" customHeight="1" spans="4:18">
      <c r="D33" s="5"/>
      <c r="E33" s="5"/>
      <c r="F33" s="5"/>
      <c r="K33" s="11"/>
      <c r="L33" s="22"/>
      <c r="M33" s="11"/>
      <c r="N33" s="18"/>
      <c r="O33" s="13"/>
      <c r="P33" s="18">
        <f t="shared" si="0"/>
        <v>0</v>
      </c>
      <c r="Q33" s="18">
        <f t="shared" si="1"/>
        <v>0</v>
      </c>
      <c r="R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7:I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2">
    <dataValidation type="list" showInputMessage="1" showErrorMessage="1" sqref="M7:M33">
      <formula1>$AF$9:$AF$10</formula1>
    </dataValidation>
    <dataValidation type="list" showInputMessage="1" showErrorMessage="1" sqref="K7:K33">
      <formula1>$V$7:$V$8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workbookViewId="0">
      <selection activeCell="D7" sqref="D7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8" width="11.8738738738739" style="2" customWidth="1"/>
    <col min="9" max="9" width="2.74774774774775" style="2" customWidth="1"/>
    <col min="10" max="10" width="14.6216216216216" style="2" customWidth="1"/>
    <col min="11" max="12" width="12.6396396396396" style="2" customWidth="1"/>
    <col min="13" max="13" width="11.8738738738739" style="2" customWidth="1"/>
    <col min="14" max="14" width="14.6216216216216" style="2" customWidth="1"/>
    <col min="15" max="15" width="17.3783783783784" style="2" customWidth="1"/>
    <col min="16" max="24" width="12.6396396396396" style="2" customWidth="1"/>
    <col min="25" max="25" width="11.7567567567568" style="2" customWidth="1"/>
    <col min="26" max="26" width="16" style="2" customWidth="1"/>
    <col min="27" max="27" width="11.5045045045045" style="2" customWidth="1"/>
    <col min="28" max="28" width="12.6396396396396" style="2" customWidth="1"/>
    <col min="29" max="29" width="11.6486486486486" style="2" customWidth="1"/>
    <col min="30" max="30" width="5.79279279279279" style="2" hidden="1" customWidth="1"/>
    <col min="31" max="31" width="9.36036036036036" style="2" customWidth="1"/>
    <col min="33" max="33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NETWORKDAYS(J7,TODAY())</f>
        <v>271</v>
      </c>
      <c r="B5" s="5" t="s">
        <v>20</v>
      </c>
      <c r="C5" s="6">
        <v>603688</v>
      </c>
      <c r="D5" s="5">
        <v>92.84</v>
      </c>
    </row>
    <row r="6" ht="19.5" customHeight="1" spans="1:25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30</v>
      </c>
      <c r="H6" s="4" t="s">
        <v>12</v>
      </c>
      <c r="I6" s="5"/>
      <c r="J6" s="9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0" t="s">
        <v>37</v>
      </c>
      <c r="Q6" s="5"/>
      <c r="R6" s="5"/>
      <c r="S6" s="5"/>
      <c r="T6" s="5"/>
      <c r="U6" s="5"/>
      <c r="V6" s="5"/>
      <c r="W6" s="5"/>
      <c r="X6" s="5"/>
      <c r="Y6" s="5"/>
    </row>
    <row r="7" ht="21.75" customHeight="1" spans="1:16">
      <c r="A7" s="7">
        <v>45211</v>
      </c>
      <c r="B7" s="16">
        <f>IF(C7=0,0,(SUMIFS(N7:N13,K7:K13,"买入")+SUM(O7:O13)+SUM(P7:P13)-SUMIFS(N7:N13,K7:K13,"卖出"))/C7)</f>
        <v>0</v>
      </c>
      <c r="C7" s="5">
        <f>SUMIFS(M7:M13,K7:K13,"买入")-SUMIFS(M7:M13,K7:K13,"卖出")</f>
        <v>0</v>
      </c>
      <c r="D7" s="5">
        <v>99.5</v>
      </c>
      <c r="E7" s="5">
        <v>89.585</v>
      </c>
      <c r="F7" s="5">
        <v>200</v>
      </c>
      <c r="G7" s="20">
        <f>SUM(O7:O14)+SUM(P7:P14)</f>
        <v>19.1575</v>
      </c>
      <c r="H7" s="5">
        <f>IF(F7=0,($D$5-B7)*C7-G7,(E7-D7)*F7-G7)</f>
        <v>-2002.1575</v>
      </c>
      <c r="J7" s="7">
        <v>45211</v>
      </c>
      <c r="K7" s="11" t="s">
        <v>38</v>
      </c>
      <c r="L7" s="18">
        <v>99.5</v>
      </c>
      <c r="M7" s="13">
        <v>200</v>
      </c>
      <c r="N7" s="18">
        <f t="shared" ref="N7:N33" si="0">L7*M7</f>
        <v>19900</v>
      </c>
      <c r="O7" s="23">
        <f>IF(N7=0,0,IF((N7*1/10000)&lt;5,5+N7*0.1/10000,(N7*1.1/10000)))</f>
        <v>5.199</v>
      </c>
      <c r="P7" s="18">
        <f t="shared" ref="P7:P33" si="1">IFERROR(_xlfn.IFS(K7="买入",0,K7="卖出",N7*0.5/1000),0)</f>
        <v>0</v>
      </c>
    </row>
    <row r="8" ht="21.75" customHeight="1" spans="1:16">
      <c r="A8" s="7"/>
      <c r="B8" s="16"/>
      <c r="C8" s="5"/>
      <c r="D8" s="5"/>
      <c r="E8" s="5"/>
      <c r="F8" s="5"/>
      <c r="G8" s="20"/>
      <c r="H8" s="5"/>
      <c r="J8" s="22">
        <v>45225</v>
      </c>
      <c r="K8" s="11" t="s">
        <v>40</v>
      </c>
      <c r="L8" s="18">
        <v>89.585</v>
      </c>
      <c r="M8" s="13">
        <v>200</v>
      </c>
      <c r="N8" s="18">
        <f t="shared" si="0"/>
        <v>17917</v>
      </c>
      <c r="O8" s="23">
        <f t="shared" ref="O8:O33" si="2">IF(N8=0,0,IF(ROUND(N8*1.1/10000,2)&lt;5,5,ROUND(N8*1.1/10000,2)))</f>
        <v>5</v>
      </c>
      <c r="P8" s="18">
        <f t="shared" si="1"/>
        <v>8.9585</v>
      </c>
    </row>
    <row r="9" ht="21.75" customHeight="1" spans="7:30">
      <c r="G9" s="21"/>
      <c r="J9" s="22"/>
      <c r="K9" s="11"/>
      <c r="L9" s="18"/>
      <c r="M9" s="13"/>
      <c r="N9" s="18">
        <f t="shared" si="0"/>
        <v>0</v>
      </c>
      <c r="O9" s="23">
        <f t="shared" si="2"/>
        <v>0</v>
      </c>
      <c r="P9" s="18">
        <f t="shared" si="1"/>
        <v>0</v>
      </c>
      <c r="AD9" t="s">
        <v>38</v>
      </c>
    </row>
    <row r="10" ht="21.75" customHeight="1" spans="7:30">
      <c r="G10" s="21"/>
      <c r="J10" s="22"/>
      <c r="K10" s="11"/>
      <c r="L10" s="18"/>
      <c r="M10" s="13"/>
      <c r="N10" s="18">
        <f t="shared" si="0"/>
        <v>0</v>
      </c>
      <c r="O10" s="23">
        <f t="shared" si="2"/>
        <v>0</v>
      </c>
      <c r="P10" s="18">
        <f t="shared" si="1"/>
        <v>0</v>
      </c>
      <c r="AD10" t="s">
        <v>40</v>
      </c>
    </row>
    <row r="11" ht="21.75" customHeight="1" spans="7:16">
      <c r="G11" s="21"/>
      <c r="J11" s="22"/>
      <c r="K11" s="11"/>
      <c r="L11" s="18"/>
      <c r="M11" s="13"/>
      <c r="N11" s="18">
        <f t="shared" si="0"/>
        <v>0</v>
      </c>
      <c r="O11" s="23">
        <f t="shared" si="2"/>
        <v>0</v>
      </c>
      <c r="P11" s="18">
        <f t="shared" si="1"/>
        <v>0</v>
      </c>
    </row>
    <row r="12" ht="21.75" customHeight="1" spans="7:16">
      <c r="G12" s="21"/>
      <c r="J12" s="22"/>
      <c r="K12" s="11"/>
      <c r="L12" s="18"/>
      <c r="M12" s="13"/>
      <c r="N12" s="18">
        <f t="shared" si="0"/>
        <v>0</v>
      </c>
      <c r="O12" s="23">
        <f t="shared" si="2"/>
        <v>0</v>
      </c>
      <c r="P12" s="18">
        <f t="shared" si="1"/>
        <v>0</v>
      </c>
    </row>
    <row r="13" ht="21.75" customHeight="1" spans="7:16">
      <c r="G13" s="21"/>
      <c r="J13" s="22"/>
      <c r="K13" s="11"/>
      <c r="L13" s="18"/>
      <c r="M13" s="13"/>
      <c r="N13" s="18">
        <f t="shared" si="0"/>
        <v>0</v>
      </c>
      <c r="O13" s="23">
        <f t="shared" si="2"/>
        <v>0</v>
      </c>
      <c r="P13" s="18">
        <f t="shared" si="1"/>
        <v>0</v>
      </c>
    </row>
    <row r="14" ht="21.75" customHeight="1" spans="7:16">
      <c r="G14" s="21"/>
      <c r="J14" s="22"/>
      <c r="K14" s="11"/>
      <c r="L14" s="18"/>
      <c r="M14" s="13"/>
      <c r="N14" s="18">
        <f t="shared" si="0"/>
        <v>0</v>
      </c>
      <c r="O14" s="23">
        <f t="shared" si="2"/>
        <v>0</v>
      </c>
      <c r="P14" s="18">
        <f t="shared" si="1"/>
        <v>0</v>
      </c>
    </row>
    <row r="15" ht="21.75" customHeight="1" spans="7:16">
      <c r="G15" s="21"/>
      <c r="J15" s="22"/>
      <c r="K15" s="11"/>
      <c r="L15" s="18"/>
      <c r="M15" s="13"/>
      <c r="N15" s="18">
        <f t="shared" si="0"/>
        <v>0</v>
      </c>
      <c r="O15" s="23">
        <f t="shared" si="2"/>
        <v>0</v>
      </c>
      <c r="P15" s="18">
        <f t="shared" si="1"/>
        <v>0</v>
      </c>
    </row>
    <row r="16" ht="21.75" customHeight="1" spans="7:16">
      <c r="G16" s="21"/>
      <c r="J16" s="22"/>
      <c r="K16" s="11"/>
      <c r="L16" s="18"/>
      <c r="M16" s="13"/>
      <c r="N16" s="18">
        <f t="shared" si="0"/>
        <v>0</v>
      </c>
      <c r="O16" s="23">
        <f t="shared" si="2"/>
        <v>0</v>
      </c>
      <c r="P16" s="18">
        <f t="shared" si="1"/>
        <v>0</v>
      </c>
    </row>
    <row r="17" ht="21.75" customHeight="1" spans="7:27">
      <c r="G17" s="21"/>
      <c r="J17" s="22"/>
      <c r="K17" s="11"/>
      <c r="L17" s="18"/>
      <c r="M17" s="13"/>
      <c r="N17" s="18">
        <f t="shared" si="0"/>
        <v>0</v>
      </c>
      <c r="O17" s="23">
        <f t="shared" si="2"/>
        <v>0</v>
      </c>
      <c r="P17" s="18">
        <f t="shared" si="1"/>
        <v>0</v>
      </c>
      <c r="Z17" s="24"/>
      <c r="AA17" s="18"/>
    </row>
    <row r="18" ht="21.75" customHeight="1" spans="7:26">
      <c r="G18" s="21"/>
      <c r="J18" s="22"/>
      <c r="K18" s="11"/>
      <c r="L18" s="18"/>
      <c r="M18" s="13"/>
      <c r="N18" s="18">
        <f t="shared" si="0"/>
        <v>0</v>
      </c>
      <c r="O18" s="23">
        <f t="shared" si="2"/>
        <v>0</v>
      </c>
      <c r="P18" s="18">
        <f t="shared" si="1"/>
        <v>0</v>
      </c>
      <c r="Z18" s="24"/>
    </row>
    <row r="19" ht="21.75" customHeight="1" spans="7:16">
      <c r="G19" s="21"/>
      <c r="J19" s="22"/>
      <c r="K19" s="11"/>
      <c r="L19" s="18"/>
      <c r="M19" s="13"/>
      <c r="N19" s="18">
        <f t="shared" si="0"/>
        <v>0</v>
      </c>
      <c r="O19" s="23">
        <f t="shared" si="2"/>
        <v>0</v>
      </c>
      <c r="P19" s="18">
        <f t="shared" si="1"/>
        <v>0</v>
      </c>
    </row>
    <row r="20" ht="21.75" customHeight="1" spans="7:16">
      <c r="G20" s="21"/>
      <c r="J20" s="22"/>
      <c r="K20" s="11"/>
      <c r="L20" s="18"/>
      <c r="M20" s="13"/>
      <c r="N20" s="18">
        <f t="shared" si="0"/>
        <v>0</v>
      </c>
      <c r="O20" s="23">
        <f t="shared" si="2"/>
        <v>0</v>
      </c>
      <c r="P20" s="18">
        <f t="shared" si="1"/>
        <v>0</v>
      </c>
    </row>
    <row r="21" ht="21.75" customHeight="1" spans="7:16">
      <c r="G21" s="21"/>
      <c r="J21" s="22"/>
      <c r="K21" s="11"/>
      <c r="L21" s="18"/>
      <c r="M21" s="13"/>
      <c r="N21" s="18">
        <f t="shared" si="0"/>
        <v>0</v>
      </c>
      <c r="O21" s="23">
        <f t="shared" si="2"/>
        <v>0</v>
      </c>
      <c r="P21" s="18">
        <f t="shared" si="1"/>
        <v>0</v>
      </c>
    </row>
    <row r="22" ht="21.75" customHeight="1" spans="7:16">
      <c r="G22" s="21"/>
      <c r="J22" s="22"/>
      <c r="K22" s="11"/>
      <c r="L22" s="18"/>
      <c r="M22" s="13"/>
      <c r="N22" s="18">
        <f t="shared" si="0"/>
        <v>0</v>
      </c>
      <c r="O22" s="23">
        <f t="shared" si="2"/>
        <v>0</v>
      </c>
      <c r="P22" s="18">
        <f t="shared" si="1"/>
        <v>0</v>
      </c>
    </row>
    <row r="23" ht="21.75" customHeight="1" spans="7:16">
      <c r="G23" s="21"/>
      <c r="J23" s="22"/>
      <c r="K23" s="11"/>
      <c r="L23" s="18"/>
      <c r="M23" s="13"/>
      <c r="N23" s="18">
        <f t="shared" si="0"/>
        <v>0</v>
      </c>
      <c r="O23" s="23">
        <f t="shared" si="2"/>
        <v>0</v>
      </c>
      <c r="P23" s="18">
        <f t="shared" si="1"/>
        <v>0</v>
      </c>
    </row>
    <row r="24" ht="21.75" customHeight="1" spans="7:16">
      <c r="G24" s="21"/>
      <c r="J24" s="22"/>
      <c r="K24" s="11"/>
      <c r="L24" s="18"/>
      <c r="M24" s="13"/>
      <c r="N24" s="18">
        <f t="shared" si="0"/>
        <v>0</v>
      </c>
      <c r="O24" s="23">
        <f t="shared" si="2"/>
        <v>0</v>
      </c>
      <c r="P24" s="18">
        <f t="shared" si="1"/>
        <v>0</v>
      </c>
    </row>
    <row r="25" ht="21.75" customHeight="1" spans="7:16">
      <c r="G25" s="21"/>
      <c r="J25" s="22"/>
      <c r="K25" s="11"/>
      <c r="L25" s="18"/>
      <c r="M25" s="13"/>
      <c r="N25" s="18">
        <f t="shared" si="0"/>
        <v>0</v>
      </c>
      <c r="O25" s="23">
        <f t="shared" si="2"/>
        <v>0</v>
      </c>
      <c r="P25" s="18">
        <f t="shared" si="1"/>
        <v>0</v>
      </c>
    </row>
    <row r="26" ht="21.75" customHeight="1" spans="7:16">
      <c r="G26" s="21"/>
      <c r="J26" s="22"/>
      <c r="K26" s="11"/>
      <c r="L26" s="18"/>
      <c r="M26" s="13"/>
      <c r="N26" s="18">
        <f t="shared" si="0"/>
        <v>0</v>
      </c>
      <c r="O26" s="23">
        <f t="shared" si="2"/>
        <v>0</v>
      </c>
      <c r="P26" s="18">
        <f t="shared" si="1"/>
        <v>0</v>
      </c>
    </row>
    <row r="27" ht="21.75" customHeight="1" spans="7:16">
      <c r="G27" s="21"/>
      <c r="J27" s="22"/>
      <c r="K27" s="11"/>
      <c r="L27" s="18"/>
      <c r="M27" s="13"/>
      <c r="N27" s="18">
        <f t="shared" si="0"/>
        <v>0</v>
      </c>
      <c r="O27" s="23">
        <f t="shared" si="2"/>
        <v>0</v>
      </c>
      <c r="P27" s="18">
        <f t="shared" si="1"/>
        <v>0</v>
      </c>
    </row>
    <row r="28" ht="21.75" customHeight="1" spans="7:16">
      <c r="G28" s="21"/>
      <c r="J28" s="22"/>
      <c r="K28" s="11"/>
      <c r="L28" s="18"/>
      <c r="M28" s="13"/>
      <c r="N28" s="18">
        <f t="shared" si="0"/>
        <v>0</v>
      </c>
      <c r="O28" s="23">
        <f t="shared" si="2"/>
        <v>0</v>
      </c>
      <c r="P28" s="18">
        <f t="shared" si="1"/>
        <v>0</v>
      </c>
    </row>
    <row r="29" ht="21.75" customHeight="1" spans="7:16">
      <c r="G29" s="21"/>
      <c r="J29" s="22"/>
      <c r="K29" s="11"/>
      <c r="L29" s="18"/>
      <c r="M29" s="13"/>
      <c r="N29" s="18">
        <f t="shared" si="0"/>
        <v>0</v>
      </c>
      <c r="O29" s="23">
        <f t="shared" si="2"/>
        <v>0</v>
      </c>
      <c r="P29" s="18">
        <f t="shared" si="1"/>
        <v>0</v>
      </c>
    </row>
    <row r="30" ht="21.75" customHeight="1" spans="7:16">
      <c r="G30" s="21"/>
      <c r="J30" s="22"/>
      <c r="K30" s="11"/>
      <c r="L30" s="18"/>
      <c r="M30" s="13"/>
      <c r="N30" s="18">
        <f t="shared" si="0"/>
        <v>0</v>
      </c>
      <c r="O30" s="23">
        <f t="shared" si="2"/>
        <v>0</v>
      </c>
      <c r="P30" s="18">
        <f t="shared" si="1"/>
        <v>0</v>
      </c>
    </row>
    <row r="31" ht="21.75" customHeight="1" spans="7:16">
      <c r="G31" s="21"/>
      <c r="J31" s="22"/>
      <c r="K31" s="11"/>
      <c r="L31" s="18"/>
      <c r="M31" s="13"/>
      <c r="N31" s="18">
        <f t="shared" si="0"/>
        <v>0</v>
      </c>
      <c r="O31" s="23">
        <f t="shared" si="2"/>
        <v>0</v>
      </c>
      <c r="P31" s="18">
        <f t="shared" si="1"/>
        <v>0</v>
      </c>
    </row>
    <row r="32" ht="21.75" customHeight="1" spans="7:16">
      <c r="G32" s="21"/>
      <c r="J32" s="22"/>
      <c r="K32" s="11"/>
      <c r="L32" s="18"/>
      <c r="M32" s="13"/>
      <c r="N32" s="18">
        <f t="shared" si="0"/>
        <v>0</v>
      </c>
      <c r="O32" s="23">
        <f t="shared" si="2"/>
        <v>0</v>
      </c>
      <c r="P32" s="18">
        <f t="shared" si="1"/>
        <v>0</v>
      </c>
    </row>
    <row r="33" ht="21.75" customHeight="1" spans="7:16">
      <c r="G33" s="21"/>
      <c r="J33" s="22"/>
      <c r="K33" s="11"/>
      <c r="L33" s="18"/>
      <c r="M33" s="13"/>
      <c r="N33" s="18">
        <f t="shared" si="0"/>
        <v>0</v>
      </c>
      <c r="O33" s="23">
        <f t="shared" si="2"/>
        <v>0</v>
      </c>
      <c r="P33" s="18">
        <f t="shared" si="1"/>
        <v>0</v>
      </c>
    </row>
    <row r="34" ht="21.75" customHeight="1"/>
    <row r="35" ht="21.75" customHeight="1"/>
    <row r="36" ht="21.75" customHeight="1"/>
  </sheetData>
  <mergeCells count="2">
    <mergeCell ref="B1:H1"/>
    <mergeCell ref="B2:H2"/>
  </mergeCells>
  <conditionalFormatting sqref="H7:H33">
    <cfRule type="cellIs" dxfId="4" priority="2" operator="lessThan">
      <formula>0</formula>
    </cfRule>
    <cfRule type="cellIs" dxfId="3" priority="3" operator="greaterThan">
      <formula>0</formula>
    </cfRule>
  </conditionalFormatting>
  <dataValidations count="1">
    <dataValidation type="list" showInputMessage="1" showErrorMessage="1" sqref="K7:K33">
      <formula1>$AD$9:$AD$10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M14" sqref="M14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-1609.24573999999</v>
      </c>
    </row>
    <row r="5" ht="19.5" customHeight="1" spans="1:4">
      <c r="A5" s="26">
        <f ca="1">NETWORKDAYS(A7,TODAY())</f>
        <v>5</v>
      </c>
      <c r="B5" s="5" t="s">
        <v>26</v>
      </c>
      <c r="C5" s="28" t="s">
        <v>27</v>
      </c>
      <c r="D5" s="5">
        <v>27.03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45583</v>
      </c>
      <c r="B7" s="16">
        <f>IF(C7=0,0,(SUMIFS(O7:O33,L7:L33,"买入")+SUM(P7:P33)+SUM(Q7:Q33)-SUMIFS(O7:O33,L7:L33,"卖出"))/C7)</f>
        <v>27.6883845291667</v>
      </c>
      <c r="C7" s="26">
        <f>SUMIFS(N7:N33,L7:L33,"买入")-SUMIFS(N7:N33,L7:L33,"卖出")</f>
        <v>2400</v>
      </c>
      <c r="D7" s="5"/>
      <c r="E7" s="5"/>
      <c r="F7" s="5"/>
      <c r="G7" s="22"/>
      <c r="H7" s="34">
        <f>SUM(P7:P33)+SUM(Q7:Q33)</f>
        <v>29.12287</v>
      </c>
      <c r="I7" s="5"/>
      <c r="K7" s="22">
        <v>45583</v>
      </c>
      <c r="L7" s="11" t="s">
        <v>38</v>
      </c>
      <c r="M7" s="12">
        <v>27.85</v>
      </c>
      <c r="N7" s="13">
        <v>1800</v>
      </c>
      <c r="O7" s="18">
        <f t="shared" ref="O7:O33" si="0">M7*N7</f>
        <v>50130</v>
      </c>
      <c r="P7" s="18">
        <f>IF(O7=0,0,IF((O7*1/10000)&lt;5,5+O7*0.1/10000,(O7*1.1/10000)))</f>
        <v>5.5143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45586</v>
      </c>
      <c r="L8" s="11" t="s">
        <v>40</v>
      </c>
      <c r="M8" s="12">
        <v>28.73</v>
      </c>
      <c r="N8" s="13">
        <v>900</v>
      </c>
      <c r="O8" s="18">
        <f t="shared" si="0"/>
        <v>25857</v>
      </c>
      <c r="P8" s="18">
        <f>IF(O8=0,0,IF((O8*1/10000)&lt;5,5+O8*0.1/10000,(O8*1.1/10000)))</f>
        <v>5.25857</v>
      </c>
      <c r="Q8" s="18">
        <f t="shared" si="1"/>
        <v>12.9285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45587</v>
      </c>
      <c r="L9" s="11" t="s">
        <v>38</v>
      </c>
      <c r="M9" s="12">
        <v>28.1</v>
      </c>
      <c r="N9" s="13">
        <v>1500</v>
      </c>
      <c r="O9" s="18">
        <f t="shared" si="0"/>
        <v>42150</v>
      </c>
      <c r="P9" s="18">
        <f>IF(O9=0,0,IF((O9*1/10000)&lt;5,5+O9*0.1/10000,(O9*1.1/10000)))</f>
        <v>5.4215</v>
      </c>
      <c r="Q9" s="18">
        <f t="shared" si="1"/>
        <v>0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ref="P10:P33" si="2">IF(OR(ISNUMBER(SEARCH("00",C5)),ISNUMBER(SEARCH("300",C5))),IF(O10=0,0,IF((O10*0.854/10000)&lt;5,5,(O10*0.954/10000))),IF(O10=0,0,IF((O10*0.854/10000)&lt;5,5,(O10*0.954/10000))))</f>
        <v>0</v>
      </c>
      <c r="Q10" s="18">
        <f t="shared" si="1"/>
        <v>0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2"/>
        <v>0</v>
      </c>
      <c r="Q11" s="18">
        <f t="shared" si="1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workbookViewId="0">
      <selection activeCell="K9" sqref="K9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9.12612612612613" style="2" customWidth="1"/>
    <col min="6" max="8" width="11.8738738738739" style="2" customWidth="1"/>
    <col min="9" max="9" width="2.74774774774775" style="2" customWidth="1"/>
    <col min="10" max="10" width="14.6216216216216" style="2" customWidth="1"/>
    <col min="11" max="12" width="12.6396396396396" style="2" customWidth="1"/>
    <col min="13" max="13" width="11.8738738738739" style="2" customWidth="1"/>
    <col min="14" max="14" width="14.6216216216216" style="2" customWidth="1"/>
    <col min="15" max="15" width="17.3783783783784" style="2" customWidth="1"/>
    <col min="16" max="24" width="12.6396396396396" style="2" customWidth="1"/>
    <col min="25" max="25" width="11.7567567567568" style="2" customWidth="1"/>
    <col min="26" max="26" width="16" style="2" customWidth="1"/>
    <col min="27" max="27" width="11.5045045045045" style="2" customWidth="1"/>
    <col min="28" max="28" width="12.6396396396396" style="2" customWidth="1"/>
    <col min="29" max="29" width="11.6486486486486" style="2" customWidth="1"/>
    <col min="30" max="30" width="5.79279279279279" style="2" hidden="1" customWidth="1"/>
    <col min="31" max="31" width="9.36036036036036" style="2" customWidth="1"/>
    <col min="33" max="33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5">
      <c r="A4" s="4" t="s">
        <v>2</v>
      </c>
      <c r="B4" s="4" t="s">
        <v>3</v>
      </c>
      <c r="C4" s="4" t="s">
        <v>4</v>
      </c>
      <c r="D4" s="4" t="s">
        <v>24</v>
      </c>
      <c r="E4"/>
    </row>
    <row r="5" ht="19.5" customHeight="1" spans="1:4">
      <c r="A5" s="5">
        <f ca="1">NETWORKDAYS(J7,TODAY())</f>
        <v>271</v>
      </c>
      <c r="B5" s="5" t="s">
        <v>21</v>
      </c>
      <c r="C5" s="6">
        <v>600745</v>
      </c>
      <c r="D5" s="5">
        <v>53.63</v>
      </c>
    </row>
    <row r="6" ht="19.5" customHeight="1" spans="1:25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30</v>
      </c>
      <c r="H6" s="4" t="s">
        <v>12</v>
      </c>
      <c r="I6" s="5"/>
      <c r="J6" s="9" t="s">
        <v>31</v>
      </c>
      <c r="K6" s="10" t="s">
        <v>32</v>
      </c>
      <c r="L6" s="10" t="s">
        <v>33</v>
      </c>
      <c r="M6" s="10" t="s">
        <v>34</v>
      </c>
      <c r="N6" s="10" t="s">
        <v>35</v>
      </c>
      <c r="O6" s="10" t="s">
        <v>36</v>
      </c>
      <c r="P6" s="10" t="s">
        <v>37</v>
      </c>
      <c r="Q6" s="5"/>
      <c r="R6" s="5"/>
      <c r="S6" s="5"/>
      <c r="T6" s="5"/>
      <c r="U6" s="5"/>
      <c r="V6" s="5"/>
      <c r="W6" s="5"/>
      <c r="X6" s="5"/>
      <c r="Y6" s="5"/>
    </row>
    <row r="7" ht="21.75" customHeight="1" spans="1:16">
      <c r="A7" s="7">
        <v>45211</v>
      </c>
      <c r="B7" s="16">
        <f>IF(C7=0,0,(SUMIFS(N7:N13,K7:K13,"买入")+SUM(O7:O13)+SUM(P7:P13)-SUMIFS(N7:N13,K7:K13,"卖出"))/C7)</f>
        <v>0</v>
      </c>
      <c r="C7" s="5">
        <f>SUMIFS(M7:M13,K7:K13,"买入")-SUMIFS(M7:M13,K7:K13,"卖出")</f>
        <v>0</v>
      </c>
      <c r="D7" s="5">
        <v>46.719</v>
      </c>
      <c r="E7" s="5">
        <v>49.31</v>
      </c>
      <c r="F7" s="5">
        <v>300</v>
      </c>
      <c r="G7" s="20">
        <f>SUM(O7:O14)+SUM(P7:P14)</f>
        <v>27.68255</v>
      </c>
      <c r="H7" s="5">
        <f>IF(F7=0,($D$5-B7)*C7-G7,(E7-D7)*F7-G7)</f>
        <v>749.61745</v>
      </c>
      <c r="J7" s="7">
        <v>45211</v>
      </c>
      <c r="K7" s="11" t="s">
        <v>38</v>
      </c>
      <c r="L7" s="18">
        <v>47.2</v>
      </c>
      <c r="M7" s="13">
        <v>500</v>
      </c>
      <c r="N7" s="18">
        <f t="shared" ref="N7:N33" si="0">L7*M7</f>
        <v>23600</v>
      </c>
      <c r="O7" s="23">
        <f t="shared" ref="O7:O33" si="1">IF(N7=0,0,IF((N7*1/10000)&lt;5,5+N7*0.1/10000,(N7*1.1/10000)))</f>
        <v>5.236</v>
      </c>
      <c r="P7" s="18">
        <f t="shared" ref="P7:P33" si="2">IFERROR(_xlfn.IFS(K7="买入",0,K7="卖出",N7*0.5/1000),0)</f>
        <v>0</v>
      </c>
    </row>
    <row r="8" ht="21.75" customHeight="1" spans="1:16">
      <c r="A8" s="7"/>
      <c r="B8" s="16"/>
      <c r="C8" s="5"/>
      <c r="D8" s="5"/>
      <c r="E8" s="5"/>
      <c r="F8" s="5"/>
      <c r="G8" s="20"/>
      <c r="H8" s="5"/>
      <c r="J8" s="22">
        <v>45225</v>
      </c>
      <c r="K8" s="11" t="s">
        <v>40</v>
      </c>
      <c r="L8" s="18">
        <v>48.06</v>
      </c>
      <c r="M8" s="13">
        <v>200</v>
      </c>
      <c r="N8" s="18">
        <f t="shared" si="0"/>
        <v>9612</v>
      </c>
      <c r="O8" s="23">
        <f t="shared" si="1"/>
        <v>5.09612</v>
      </c>
      <c r="P8" s="18">
        <f t="shared" si="2"/>
        <v>4.806</v>
      </c>
    </row>
    <row r="9" ht="21.75" customHeight="1" spans="7:30">
      <c r="G9" s="21"/>
      <c r="J9" s="22">
        <v>45226</v>
      </c>
      <c r="K9" s="11" t="s">
        <v>40</v>
      </c>
      <c r="L9" s="18">
        <v>49.31</v>
      </c>
      <c r="M9" s="13">
        <v>300</v>
      </c>
      <c r="N9" s="18">
        <f t="shared" si="0"/>
        <v>14793</v>
      </c>
      <c r="O9" s="23">
        <f t="shared" si="1"/>
        <v>5.14793</v>
      </c>
      <c r="P9" s="18">
        <f t="shared" si="2"/>
        <v>7.3965</v>
      </c>
      <c r="AD9" t="s">
        <v>38</v>
      </c>
    </row>
    <row r="10" ht="21.75" customHeight="1" spans="7:30">
      <c r="G10" s="21"/>
      <c r="J10" s="22"/>
      <c r="K10" s="11"/>
      <c r="L10" s="18"/>
      <c r="M10" s="13"/>
      <c r="N10" s="18">
        <f t="shared" si="0"/>
        <v>0</v>
      </c>
      <c r="O10" s="23">
        <f t="shared" si="1"/>
        <v>0</v>
      </c>
      <c r="P10" s="18">
        <f t="shared" si="2"/>
        <v>0</v>
      </c>
      <c r="AD10" t="s">
        <v>40</v>
      </c>
    </row>
    <row r="11" ht="21.75" customHeight="1" spans="7:16">
      <c r="G11" s="21"/>
      <c r="J11" s="22"/>
      <c r="K11" s="11"/>
      <c r="L11" s="18"/>
      <c r="M11" s="13"/>
      <c r="N11" s="18">
        <f t="shared" si="0"/>
        <v>0</v>
      </c>
      <c r="O11" s="23">
        <f t="shared" si="1"/>
        <v>0</v>
      </c>
      <c r="P11" s="18">
        <f t="shared" si="2"/>
        <v>0</v>
      </c>
    </row>
    <row r="12" ht="21.75" customHeight="1" spans="7:16">
      <c r="G12" s="21"/>
      <c r="J12" s="22"/>
      <c r="K12" s="11"/>
      <c r="L12" s="18"/>
      <c r="M12" s="13"/>
      <c r="N12" s="18">
        <f t="shared" si="0"/>
        <v>0</v>
      </c>
      <c r="O12" s="23">
        <f t="shared" si="1"/>
        <v>0</v>
      </c>
      <c r="P12" s="18">
        <f t="shared" si="2"/>
        <v>0</v>
      </c>
    </row>
    <row r="13" ht="21.75" customHeight="1" spans="7:16">
      <c r="G13" s="21"/>
      <c r="J13" s="22"/>
      <c r="K13" s="11"/>
      <c r="L13" s="18"/>
      <c r="M13" s="13"/>
      <c r="N13" s="18">
        <f t="shared" si="0"/>
        <v>0</v>
      </c>
      <c r="O13" s="23">
        <f t="shared" si="1"/>
        <v>0</v>
      </c>
      <c r="P13" s="18">
        <f t="shared" si="2"/>
        <v>0</v>
      </c>
    </row>
    <row r="14" ht="21.75" customHeight="1" spans="7:16">
      <c r="G14" s="21"/>
      <c r="J14" s="22"/>
      <c r="K14" s="11"/>
      <c r="L14" s="18"/>
      <c r="M14" s="13"/>
      <c r="N14" s="18">
        <f t="shared" si="0"/>
        <v>0</v>
      </c>
      <c r="O14" s="23">
        <f t="shared" si="1"/>
        <v>0</v>
      </c>
      <c r="P14" s="18">
        <f t="shared" si="2"/>
        <v>0</v>
      </c>
    </row>
    <row r="15" ht="21.75" customHeight="1" spans="7:16">
      <c r="G15" s="21"/>
      <c r="J15" s="22"/>
      <c r="K15" s="11"/>
      <c r="L15" s="18"/>
      <c r="M15" s="13"/>
      <c r="N15" s="18">
        <f t="shared" si="0"/>
        <v>0</v>
      </c>
      <c r="O15" s="23">
        <f t="shared" si="1"/>
        <v>0</v>
      </c>
      <c r="P15" s="18">
        <f t="shared" si="2"/>
        <v>0</v>
      </c>
    </row>
    <row r="16" ht="21.75" customHeight="1" spans="7:16">
      <c r="G16" s="21"/>
      <c r="J16" s="22"/>
      <c r="K16" s="11"/>
      <c r="L16" s="18"/>
      <c r="M16" s="13"/>
      <c r="N16" s="18">
        <f t="shared" si="0"/>
        <v>0</v>
      </c>
      <c r="O16" s="23">
        <f t="shared" si="1"/>
        <v>0</v>
      </c>
      <c r="P16" s="18">
        <f t="shared" si="2"/>
        <v>0</v>
      </c>
    </row>
    <row r="17" ht="21.75" customHeight="1" spans="7:27">
      <c r="G17" s="21"/>
      <c r="J17" s="22"/>
      <c r="K17" s="11"/>
      <c r="L17" s="18"/>
      <c r="M17" s="13"/>
      <c r="N17" s="18">
        <f t="shared" si="0"/>
        <v>0</v>
      </c>
      <c r="O17" s="23">
        <f t="shared" si="1"/>
        <v>0</v>
      </c>
      <c r="P17" s="18">
        <f t="shared" si="2"/>
        <v>0</v>
      </c>
      <c r="Z17" s="24"/>
      <c r="AA17" s="18"/>
    </row>
    <row r="18" ht="21.75" customHeight="1" spans="7:26">
      <c r="G18" s="21"/>
      <c r="J18" s="22"/>
      <c r="K18" s="11"/>
      <c r="L18" s="18"/>
      <c r="M18" s="13"/>
      <c r="N18" s="18">
        <f t="shared" si="0"/>
        <v>0</v>
      </c>
      <c r="O18" s="23">
        <f t="shared" si="1"/>
        <v>0</v>
      </c>
      <c r="P18" s="18">
        <f t="shared" si="2"/>
        <v>0</v>
      </c>
      <c r="Z18" s="24"/>
    </row>
    <row r="19" ht="21.75" customHeight="1" spans="7:16">
      <c r="G19" s="21"/>
      <c r="J19" s="22"/>
      <c r="K19" s="11"/>
      <c r="L19" s="18"/>
      <c r="M19" s="13"/>
      <c r="N19" s="18">
        <f t="shared" si="0"/>
        <v>0</v>
      </c>
      <c r="O19" s="23">
        <f t="shared" si="1"/>
        <v>0</v>
      </c>
      <c r="P19" s="18">
        <f t="shared" si="2"/>
        <v>0</v>
      </c>
    </row>
    <row r="20" ht="21.75" customHeight="1" spans="7:16">
      <c r="G20" s="21"/>
      <c r="J20" s="22"/>
      <c r="K20" s="11"/>
      <c r="L20" s="18"/>
      <c r="M20" s="13"/>
      <c r="N20" s="18">
        <f t="shared" si="0"/>
        <v>0</v>
      </c>
      <c r="O20" s="23">
        <f t="shared" si="1"/>
        <v>0</v>
      </c>
      <c r="P20" s="18">
        <f t="shared" si="2"/>
        <v>0</v>
      </c>
    </row>
    <row r="21" ht="21.75" customHeight="1" spans="7:16">
      <c r="G21" s="21"/>
      <c r="J21" s="22"/>
      <c r="K21" s="11"/>
      <c r="L21" s="18"/>
      <c r="M21" s="13"/>
      <c r="N21" s="18">
        <f t="shared" si="0"/>
        <v>0</v>
      </c>
      <c r="O21" s="23">
        <f t="shared" si="1"/>
        <v>0</v>
      </c>
      <c r="P21" s="18">
        <f t="shared" si="2"/>
        <v>0</v>
      </c>
    </row>
    <row r="22" ht="21.75" customHeight="1" spans="7:16">
      <c r="G22" s="21"/>
      <c r="J22" s="22"/>
      <c r="K22" s="11"/>
      <c r="L22" s="18"/>
      <c r="M22" s="13"/>
      <c r="N22" s="18">
        <f t="shared" si="0"/>
        <v>0</v>
      </c>
      <c r="O22" s="23">
        <f t="shared" si="1"/>
        <v>0</v>
      </c>
      <c r="P22" s="18">
        <f t="shared" si="2"/>
        <v>0</v>
      </c>
    </row>
    <row r="23" ht="21.75" customHeight="1" spans="7:16">
      <c r="G23" s="21"/>
      <c r="J23" s="22"/>
      <c r="K23" s="11"/>
      <c r="L23" s="18"/>
      <c r="M23" s="13"/>
      <c r="N23" s="18">
        <f t="shared" si="0"/>
        <v>0</v>
      </c>
      <c r="O23" s="23">
        <f t="shared" si="1"/>
        <v>0</v>
      </c>
      <c r="P23" s="18">
        <f t="shared" si="2"/>
        <v>0</v>
      </c>
    </row>
    <row r="24" ht="21.75" customHeight="1" spans="7:16">
      <c r="G24" s="21"/>
      <c r="J24" s="22"/>
      <c r="K24" s="11"/>
      <c r="L24" s="18"/>
      <c r="M24" s="13"/>
      <c r="N24" s="18">
        <f t="shared" si="0"/>
        <v>0</v>
      </c>
      <c r="O24" s="23">
        <f t="shared" si="1"/>
        <v>0</v>
      </c>
      <c r="P24" s="18">
        <f t="shared" si="2"/>
        <v>0</v>
      </c>
    </row>
    <row r="25" ht="21.75" customHeight="1" spans="7:16">
      <c r="G25" s="21"/>
      <c r="J25" s="22"/>
      <c r="K25" s="11"/>
      <c r="L25" s="18"/>
      <c r="M25" s="13"/>
      <c r="N25" s="18">
        <f t="shared" si="0"/>
        <v>0</v>
      </c>
      <c r="O25" s="23">
        <f t="shared" si="1"/>
        <v>0</v>
      </c>
      <c r="P25" s="18">
        <f t="shared" si="2"/>
        <v>0</v>
      </c>
    </row>
    <row r="26" ht="21.75" customHeight="1" spans="7:16">
      <c r="G26" s="21"/>
      <c r="J26" s="22"/>
      <c r="K26" s="11"/>
      <c r="L26" s="18"/>
      <c r="M26" s="13"/>
      <c r="N26" s="18">
        <f t="shared" si="0"/>
        <v>0</v>
      </c>
      <c r="O26" s="23">
        <f t="shared" si="1"/>
        <v>0</v>
      </c>
      <c r="P26" s="18">
        <f t="shared" si="2"/>
        <v>0</v>
      </c>
    </row>
    <row r="27" ht="21.75" customHeight="1" spans="7:16">
      <c r="G27" s="21"/>
      <c r="J27" s="22"/>
      <c r="K27" s="11"/>
      <c r="L27" s="18"/>
      <c r="M27" s="13"/>
      <c r="N27" s="18">
        <f t="shared" si="0"/>
        <v>0</v>
      </c>
      <c r="O27" s="23">
        <f t="shared" si="1"/>
        <v>0</v>
      </c>
      <c r="P27" s="18">
        <f t="shared" si="2"/>
        <v>0</v>
      </c>
    </row>
    <row r="28" ht="21.75" customHeight="1" spans="7:16">
      <c r="G28" s="21"/>
      <c r="J28" s="22"/>
      <c r="K28" s="11"/>
      <c r="L28" s="18"/>
      <c r="M28" s="13"/>
      <c r="N28" s="18">
        <f t="shared" si="0"/>
        <v>0</v>
      </c>
      <c r="O28" s="23">
        <f t="shared" si="1"/>
        <v>0</v>
      </c>
      <c r="P28" s="18">
        <f t="shared" si="2"/>
        <v>0</v>
      </c>
    </row>
    <row r="29" ht="21.75" customHeight="1" spans="7:16">
      <c r="G29" s="21"/>
      <c r="J29" s="22"/>
      <c r="K29" s="11"/>
      <c r="L29" s="18"/>
      <c r="M29" s="13"/>
      <c r="N29" s="18">
        <f t="shared" si="0"/>
        <v>0</v>
      </c>
      <c r="O29" s="23">
        <f t="shared" si="1"/>
        <v>0</v>
      </c>
      <c r="P29" s="18">
        <f t="shared" si="2"/>
        <v>0</v>
      </c>
    </row>
    <row r="30" ht="21.75" customHeight="1" spans="7:16">
      <c r="G30" s="21"/>
      <c r="J30" s="22"/>
      <c r="K30" s="11"/>
      <c r="L30" s="18"/>
      <c r="M30" s="13"/>
      <c r="N30" s="18">
        <f t="shared" si="0"/>
        <v>0</v>
      </c>
      <c r="O30" s="23">
        <f t="shared" si="1"/>
        <v>0</v>
      </c>
      <c r="P30" s="18">
        <f t="shared" si="2"/>
        <v>0</v>
      </c>
    </row>
    <row r="31" ht="21.75" customHeight="1" spans="7:16">
      <c r="G31" s="21"/>
      <c r="J31" s="22"/>
      <c r="K31" s="11"/>
      <c r="L31" s="18"/>
      <c r="M31" s="13"/>
      <c r="N31" s="18">
        <f t="shared" si="0"/>
        <v>0</v>
      </c>
      <c r="O31" s="23">
        <f t="shared" si="1"/>
        <v>0</v>
      </c>
      <c r="P31" s="18">
        <f t="shared" si="2"/>
        <v>0</v>
      </c>
    </row>
    <row r="32" ht="21.75" customHeight="1" spans="7:16">
      <c r="G32" s="21"/>
      <c r="J32" s="22"/>
      <c r="K32" s="11"/>
      <c r="L32" s="18"/>
      <c r="M32" s="13"/>
      <c r="N32" s="18">
        <f t="shared" si="0"/>
        <v>0</v>
      </c>
      <c r="O32" s="23">
        <f t="shared" si="1"/>
        <v>0</v>
      </c>
      <c r="P32" s="18">
        <f t="shared" si="2"/>
        <v>0</v>
      </c>
    </row>
    <row r="33" ht="21.75" customHeight="1" spans="7:16">
      <c r="G33" s="21"/>
      <c r="J33" s="22"/>
      <c r="K33" s="11"/>
      <c r="L33" s="18"/>
      <c r="M33" s="13"/>
      <c r="N33" s="18">
        <f t="shared" si="0"/>
        <v>0</v>
      </c>
      <c r="O33" s="23">
        <f t="shared" si="1"/>
        <v>0</v>
      </c>
      <c r="P33" s="18">
        <f t="shared" si="2"/>
        <v>0</v>
      </c>
    </row>
    <row r="34" ht="21.75" customHeight="1"/>
    <row r="35" ht="21.75" customHeight="1"/>
    <row r="36" ht="21.75" customHeight="1"/>
  </sheetData>
  <mergeCells count="2">
    <mergeCell ref="B1:H1"/>
    <mergeCell ref="B2:H2"/>
  </mergeCells>
  <dataValidations count="1">
    <dataValidation type="list" showInputMessage="1" showErrorMessage="1" sqref="K7:K33">
      <formula1>$AD$9:$AD$10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H5" sqref="H5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6.5045045045045" style="2" customWidth="1"/>
    <col min="7" max="7" width="17.3693693693694" style="2" customWidth="1"/>
    <col min="8" max="8" width="16.7657657657658" style="2" customWidth="1"/>
    <col min="9" max="9" width="18.3693693693694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79279279279279" style="2" hidden="1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28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304</v>
      </c>
      <c r="B5" s="5" t="s">
        <v>19</v>
      </c>
      <c r="C5" s="6">
        <v>601398</v>
      </c>
      <c r="D5" s="7">
        <v>45166</v>
      </c>
      <c r="E5" s="16">
        <f>IF(F5=0,C8,(SUMIFS(E8:E34,B8:B34,"买入")+SUM(F8:F34)+SUM(G8:G34)-SUMIFS(E8:E34,B8:B34,"卖出"))/F5)</f>
        <v>4.8</v>
      </c>
      <c r="F5" s="5">
        <f>SUMIFS(D8:D34,B8:B34,"买入")-SUMIFS(D8:D34,B8:B34,"卖出")</f>
        <v>0</v>
      </c>
      <c r="G5" s="5">
        <v>4.74</v>
      </c>
      <c r="H5" s="5">
        <v>5.006</v>
      </c>
      <c r="I5" s="5">
        <v>4.62</v>
      </c>
      <c r="J5" s="5">
        <v>13700</v>
      </c>
      <c r="K5" s="5">
        <f>IF(F5=0,(I5-H5)*J5,(G5-E5)*F5)</f>
        <v>-5288.2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31</v>
      </c>
      <c r="B7" s="10" t="s">
        <v>32</v>
      </c>
      <c r="C7" s="10" t="s">
        <v>33</v>
      </c>
      <c r="D7" s="10" t="s">
        <v>70</v>
      </c>
      <c r="E7" s="10" t="s">
        <v>35</v>
      </c>
      <c r="F7" s="10" t="s">
        <v>36</v>
      </c>
      <c r="G7" s="10" t="s">
        <v>37</v>
      </c>
      <c r="H7" s="17" t="s">
        <v>12</v>
      </c>
      <c r="I7" s="17" t="s">
        <v>13</v>
      </c>
      <c r="O7" t="s">
        <v>38</v>
      </c>
    </row>
    <row r="8" ht="21.75" customHeight="1" spans="1:15">
      <c r="A8" s="7">
        <v>45166</v>
      </c>
      <c r="B8" s="11" t="s">
        <v>38</v>
      </c>
      <c r="C8" s="18">
        <v>4.8</v>
      </c>
      <c r="D8" s="13">
        <v>27400</v>
      </c>
      <c r="E8" s="18">
        <f t="shared" ref="E8:E34" si="0">C8*D8</f>
        <v>131520</v>
      </c>
      <c r="F8" s="18">
        <f t="shared" ref="F8:F34" si="1">IF(E8=0,0,ROUND(IF((E8*2.6/10000)&lt;5,5,(E8*2.5/10000)),2))</f>
        <v>32.88</v>
      </c>
      <c r="G8" s="18">
        <f t="shared" ref="G8:G34" si="2">IFERROR(_xlfn.IFS(B8="买入",0,B8="卖出",E8*0.5/1000),0)</f>
        <v>0</v>
      </c>
      <c r="H8" s="19"/>
      <c r="O8" t="s">
        <v>40</v>
      </c>
    </row>
    <row r="9" ht="21.75" customHeight="1" spans="1:8">
      <c r="A9" s="7">
        <v>45174</v>
      </c>
      <c r="B9" s="11" t="s">
        <v>40</v>
      </c>
      <c r="C9" s="18">
        <v>4.6</v>
      </c>
      <c r="D9" s="13">
        <v>13700</v>
      </c>
      <c r="E9" s="18">
        <f t="shared" si="0"/>
        <v>63020</v>
      </c>
      <c r="F9" s="18">
        <f t="shared" si="1"/>
        <v>15.76</v>
      </c>
      <c r="G9" s="18">
        <f t="shared" si="2"/>
        <v>31.51</v>
      </c>
      <c r="H9" s="19"/>
    </row>
    <row r="10" ht="21.75" customHeight="1" spans="1:8">
      <c r="A10" s="14">
        <v>45182</v>
      </c>
      <c r="B10" s="11" t="s">
        <v>40</v>
      </c>
      <c r="C10" s="18">
        <v>4.62</v>
      </c>
      <c r="D10" s="13">
        <v>13700</v>
      </c>
      <c r="E10" s="18">
        <f t="shared" si="0"/>
        <v>63294</v>
      </c>
      <c r="F10" s="18">
        <f t="shared" si="1"/>
        <v>15.82</v>
      </c>
      <c r="G10" s="18">
        <f t="shared" si="2"/>
        <v>31.647</v>
      </c>
      <c r="H10" s="19"/>
    </row>
    <row r="11" ht="21.75" customHeight="1" spans="1:8">
      <c r="A11" s="14"/>
      <c r="B11" s="11"/>
      <c r="C11" s="18"/>
      <c r="D11" s="13"/>
      <c r="E11" s="18">
        <f t="shared" si="0"/>
        <v>0</v>
      </c>
      <c r="F11" s="18">
        <f t="shared" si="1"/>
        <v>0</v>
      </c>
      <c r="G11" s="18">
        <f t="shared" si="2"/>
        <v>0</v>
      </c>
      <c r="H11" s="19"/>
    </row>
    <row r="12" ht="21.75" customHeight="1" spans="1:8">
      <c r="A12" s="14"/>
      <c r="B12" s="11"/>
      <c r="C12" s="18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8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8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8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8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8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8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8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8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8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8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8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8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8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8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8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8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8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8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8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8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8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8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G4" sqref="G4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6.5045045045045" style="2" customWidth="1"/>
    <col min="7" max="7" width="17.3693693693694" style="2" customWidth="1"/>
    <col min="8" max="8" width="16.7657657657658" style="2" customWidth="1"/>
    <col min="9" max="9" width="18.6306306306306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14414414414414" style="2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28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307</v>
      </c>
      <c r="B5" s="5" t="s">
        <v>15</v>
      </c>
      <c r="C5" s="6">
        <v>603000</v>
      </c>
      <c r="D5" s="7">
        <v>45161</v>
      </c>
      <c r="E5" s="5">
        <f>IF(F5=0,(SUMIFS(E8:E34,B8:B34,"买入")+SUMIFS(F8:F34,B8:B34,"买入"))/SUMIFS(D8:D34,B8:B34,"买入"),(SUMIFS(E8:E34,B8:B34,"买入")+SUM(F8:F34)+SUM(G8:G34)-SUMIFS(E8:E34,B8:B34,"卖出"))/F5)</f>
        <v>36.1833333333333</v>
      </c>
      <c r="F5" s="5">
        <f>SUMIFS(D8:D34,B8:B34,"买入")-SUMIFS(D8:D34,B8:B34,"卖出")</f>
        <v>0</v>
      </c>
      <c r="G5" s="5">
        <v>41.5</v>
      </c>
      <c r="H5" s="5">
        <v>36.18</v>
      </c>
      <c r="I5" s="5">
        <v>37.05</v>
      </c>
      <c r="J5" s="5">
        <v>600</v>
      </c>
      <c r="K5" s="5">
        <f>IF(F5=0,(I5-H5)*J5,(G5-E5)*F5)</f>
        <v>521.999999999998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31</v>
      </c>
      <c r="B7" s="10" t="s">
        <v>32</v>
      </c>
      <c r="C7" s="10" t="s">
        <v>33</v>
      </c>
      <c r="D7" s="10" t="s">
        <v>70</v>
      </c>
      <c r="E7" s="10" t="s">
        <v>35</v>
      </c>
      <c r="F7" s="10" t="s">
        <v>36</v>
      </c>
      <c r="G7" s="10" t="s">
        <v>37</v>
      </c>
      <c r="H7" s="17" t="s">
        <v>12</v>
      </c>
      <c r="I7" s="17" t="s">
        <v>13</v>
      </c>
      <c r="O7" t="s">
        <v>38</v>
      </c>
    </row>
    <row r="8" ht="21.75" customHeight="1" spans="1:15">
      <c r="A8" s="7">
        <v>45161</v>
      </c>
      <c r="B8" s="11" t="s">
        <v>38</v>
      </c>
      <c r="C8" s="18">
        <v>38.5</v>
      </c>
      <c r="D8" s="13">
        <v>200</v>
      </c>
      <c r="E8" s="18">
        <f t="shared" ref="E8:E34" si="0">C8*D8</f>
        <v>7700</v>
      </c>
      <c r="F8" s="18">
        <f t="shared" ref="F8:F34" si="1">IF(E8=0,0,ROUND(IF((E8*2.6/10000)&lt;5,5,(E8*2.5/10000)),2))</f>
        <v>5</v>
      </c>
      <c r="G8" s="18">
        <f>IFERROR(_xlfn.IFS(B8="买入",0,B8="卖出",E8*1/1000),0)</f>
        <v>0</v>
      </c>
      <c r="H8" s="19"/>
      <c r="O8" t="s">
        <v>40</v>
      </c>
    </row>
    <row r="9" ht="21.75" customHeight="1" spans="1:8">
      <c r="A9" s="14">
        <v>45163</v>
      </c>
      <c r="B9" s="11" t="s">
        <v>38</v>
      </c>
      <c r="C9" s="18">
        <v>35</v>
      </c>
      <c r="D9" s="13">
        <v>400</v>
      </c>
      <c r="E9" s="18">
        <f t="shared" si="0"/>
        <v>14000</v>
      </c>
      <c r="F9" s="18">
        <f t="shared" si="1"/>
        <v>5</v>
      </c>
      <c r="G9" s="18">
        <f>IFERROR(_xlfn.IFS(B9="买入",0,B9="卖出",E9*1/1000),0)</f>
        <v>0</v>
      </c>
      <c r="H9" s="19"/>
    </row>
    <row r="10" ht="21.75" customHeight="1" spans="1:8">
      <c r="A10" s="14">
        <v>45167</v>
      </c>
      <c r="B10" s="11" t="s">
        <v>40</v>
      </c>
      <c r="C10" s="18">
        <v>37.05</v>
      </c>
      <c r="D10" s="13">
        <v>600</v>
      </c>
      <c r="E10" s="18">
        <f t="shared" si="0"/>
        <v>22230</v>
      </c>
      <c r="F10" s="18">
        <f t="shared" si="1"/>
        <v>5.56</v>
      </c>
      <c r="G10" s="18">
        <f>IFERROR(_xlfn.IFS(B10="买入",0,B10="卖出",E10*0.5/1000),0)</f>
        <v>11.115</v>
      </c>
      <c r="H10" s="19"/>
    </row>
    <row r="11" ht="21.75" customHeight="1" spans="1:8">
      <c r="A11" s="14"/>
      <c r="B11" s="11"/>
      <c r="C11" s="18"/>
      <c r="D11" s="13"/>
      <c r="E11" s="18">
        <f t="shared" si="0"/>
        <v>0</v>
      </c>
      <c r="F11" s="18">
        <f t="shared" si="1"/>
        <v>0</v>
      </c>
      <c r="G11" s="18">
        <f t="shared" ref="G11:G34" si="2">IFERROR(_xlfn.IFS(B11="买入",0,B11="卖出",E11*1/1000),0)</f>
        <v>0</v>
      </c>
      <c r="H11" s="19"/>
    </row>
    <row r="12" ht="21.75" customHeight="1" spans="1:8">
      <c r="A12" s="14"/>
      <c r="B12" s="11"/>
      <c r="C12" s="18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8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8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8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8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8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8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8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8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8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8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8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8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8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8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8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8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8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8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8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8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8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8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14" sqref="K14"/>
    </sheetView>
  </sheetViews>
  <sheetFormatPr defaultColWidth="9" defaultRowHeight="13.45"/>
  <cols>
    <col min="1" max="1" width="13.2702702702703" style="2" customWidth="1"/>
    <col min="2" max="3" width="11.2612612612613" style="2" customWidth="1"/>
    <col min="4" max="4" width="16.6396396396396" style="2" customWidth="1"/>
    <col min="5" max="5" width="15.6126126126126" style="2" customWidth="1"/>
    <col min="6" max="6" width="17.3783783783784" style="2" customWidth="1"/>
    <col min="7" max="7" width="11.8738738738739" style="2" customWidth="1"/>
    <col min="8" max="8" width="16.7657657657658" style="2" customWidth="1"/>
    <col min="9" max="9" width="18.3693693693694" style="2" customWidth="1"/>
    <col min="10" max="10" width="11.8738738738739" style="2" customWidth="1"/>
    <col min="11" max="11" width="12.6396396396396" style="2" customWidth="1"/>
    <col min="12" max="12" width="11.5045045045045" style="2" customWidth="1"/>
    <col min="13" max="13" width="12.6396396396396" style="2" customWidth="1"/>
    <col min="14" max="14" width="11.6486486486486" style="2" customWidth="1"/>
    <col min="15" max="15" width="5.79279279279279" style="2" hidden="1" customWidth="1"/>
    <col min="16" max="16" width="9.36036036036036" style="2" customWidth="1"/>
    <col min="18" max="18" width="9.36036036036036" style="2" customWidth="1"/>
  </cols>
  <sheetData>
    <row r="1" ht="21.75" customHeight="1" spans="2:2">
      <c r="B1" s="3" t="s">
        <v>22</v>
      </c>
    </row>
    <row r="2" s="1" customFormat="1" ht="21.75" customHeight="1" spans="2:2">
      <c r="B2" s="3" t="s">
        <v>23</v>
      </c>
    </row>
    <row r="4" ht="19.5" customHeight="1" spans="1:1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24</v>
      </c>
      <c r="H4" s="4" t="s">
        <v>28</v>
      </c>
      <c r="I4" s="4" t="s">
        <v>9</v>
      </c>
      <c r="J4" s="4" t="s">
        <v>10</v>
      </c>
      <c r="K4" s="4" t="s">
        <v>12</v>
      </c>
    </row>
    <row r="5" ht="19.5" customHeight="1" spans="1:11">
      <c r="A5" s="5">
        <f ca="1">NETWORKDAYS(A8,TODAY())</f>
        <v>307</v>
      </c>
      <c r="B5" s="5" t="s">
        <v>17</v>
      </c>
      <c r="C5" s="6">
        <v>601138</v>
      </c>
      <c r="D5" s="7">
        <v>45161</v>
      </c>
      <c r="E5" s="16">
        <f>IF(F5=0,C8,(SUMIFS(E8:E34,B8:B34,"买入")+SUM(F8:F34)+SUM(G8:G34)-SUMIFS(E8:E34,B8:B34,"卖出"))/F5)</f>
        <v>22.05</v>
      </c>
      <c r="F5" s="5">
        <f>SUMIFS(D8:D34,B8:B34,"买入")-SUMIFS(D8:D34,B8:B34,"卖出")</f>
        <v>0</v>
      </c>
      <c r="G5" s="5">
        <v>4.66</v>
      </c>
      <c r="H5" s="5">
        <v>22.05</v>
      </c>
      <c r="I5" s="5">
        <v>22.708</v>
      </c>
      <c r="J5" s="5">
        <v>3400</v>
      </c>
      <c r="K5" s="5">
        <f>IF(F5=0,(I5-H5)*J5,(G5-E5)*F5)</f>
        <v>2237.19999999999</v>
      </c>
    </row>
    <row r="6" ht="21.75" customHeight="1" spans="1:8">
      <c r="A6" s="8"/>
      <c r="B6" s="8"/>
      <c r="C6" s="8"/>
      <c r="D6" s="8"/>
      <c r="E6" s="8"/>
      <c r="F6" s="8"/>
      <c r="G6" s="8"/>
      <c r="H6" s="8"/>
    </row>
    <row r="7" ht="21.75" customHeight="1" spans="1:15">
      <c r="A7" s="9" t="s">
        <v>31</v>
      </c>
      <c r="B7" s="10" t="s">
        <v>32</v>
      </c>
      <c r="C7" s="10" t="s">
        <v>33</v>
      </c>
      <c r="D7" s="10" t="s">
        <v>70</v>
      </c>
      <c r="E7" s="10" t="s">
        <v>35</v>
      </c>
      <c r="F7" s="10" t="s">
        <v>36</v>
      </c>
      <c r="G7" s="10" t="s">
        <v>37</v>
      </c>
      <c r="H7" s="17" t="s">
        <v>12</v>
      </c>
      <c r="I7" s="17" t="s">
        <v>13</v>
      </c>
      <c r="O7" t="s">
        <v>38</v>
      </c>
    </row>
    <row r="8" ht="21.75" customHeight="1" spans="1:15">
      <c r="A8" s="7">
        <v>45161</v>
      </c>
      <c r="B8" s="11" t="s">
        <v>38</v>
      </c>
      <c r="C8" s="12">
        <v>22.05</v>
      </c>
      <c r="D8" s="13">
        <v>3400</v>
      </c>
      <c r="E8" s="18">
        <f t="shared" ref="E8:E34" si="0">C8*D8</f>
        <v>74970</v>
      </c>
      <c r="F8" s="18">
        <f t="shared" ref="F8:F34" si="1">IF(E8=0,0,ROUND(IF((E8*2.6/10000)&lt;5,5,(E8*2.5/10000)),2))</f>
        <v>18.74</v>
      </c>
      <c r="G8" s="18">
        <f t="shared" ref="G8:G34" si="2">IFERROR(_xlfn.IFS(B8="买入",0,B8="卖出",E8*1/1000),0)</f>
        <v>0</v>
      </c>
      <c r="H8" s="19"/>
      <c r="O8" t="s">
        <v>40</v>
      </c>
    </row>
    <row r="9" ht="21.75" customHeight="1" spans="1:8">
      <c r="A9" s="7">
        <v>45162</v>
      </c>
      <c r="B9" s="11" t="s">
        <v>40</v>
      </c>
      <c r="C9" s="12">
        <v>22.708</v>
      </c>
      <c r="D9" s="13">
        <v>3400</v>
      </c>
      <c r="E9" s="18">
        <f t="shared" si="0"/>
        <v>77207.2</v>
      </c>
      <c r="F9" s="18">
        <f t="shared" si="1"/>
        <v>19.3</v>
      </c>
      <c r="G9" s="18">
        <f t="shared" si="2"/>
        <v>77.2072</v>
      </c>
      <c r="H9" s="19"/>
    </row>
    <row r="10" ht="21.75" customHeight="1" spans="1:8">
      <c r="A10" s="14"/>
      <c r="B10" s="11"/>
      <c r="C10" s="12"/>
      <c r="D10" s="13"/>
      <c r="E10" s="18">
        <f t="shared" si="0"/>
        <v>0</v>
      </c>
      <c r="F10" s="18">
        <f t="shared" si="1"/>
        <v>0</v>
      </c>
      <c r="G10" s="18">
        <f t="shared" si="2"/>
        <v>0</v>
      </c>
      <c r="H10" s="19"/>
    </row>
    <row r="11" ht="21.75" customHeight="1" spans="1:8">
      <c r="A11" s="14"/>
      <c r="B11" s="11"/>
      <c r="C11" s="12"/>
      <c r="D11" s="13"/>
      <c r="E11" s="18">
        <f t="shared" si="0"/>
        <v>0</v>
      </c>
      <c r="F11" s="18">
        <f t="shared" si="1"/>
        <v>0</v>
      </c>
      <c r="G11" s="18">
        <f t="shared" si="2"/>
        <v>0</v>
      </c>
      <c r="H11" s="19"/>
    </row>
    <row r="12" ht="21.75" customHeight="1" spans="1:8">
      <c r="A12" s="14"/>
      <c r="B12" s="11"/>
      <c r="C12" s="12"/>
      <c r="D12" s="13"/>
      <c r="E12" s="18">
        <f t="shared" si="0"/>
        <v>0</v>
      </c>
      <c r="F12" s="18">
        <f t="shared" si="1"/>
        <v>0</v>
      </c>
      <c r="G12" s="18">
        <f t="shared" si="2"/>
        <v>0</v>
      </c>
      <c r="H12" s="19"/>
    </row>
    <row r="13" ht="21.75" customHeight="1" spans="1:8">
      <c r="A13" s="14"/>
      <c r="B13" s="11"/>
      <c r="C13" s="12"/>
      <c r="D13" s="13"/>
      <c r="E13" s="18">
        <f t="shared" si="0"/>
        <v>0</v>
      </c>
      <c r="F13" s="18">
        <f t="shared" si="1"/>
        <v>0</v>
      </c>
      <c r="G13" s="18">
        <f t="shared" si="2"/>
        <v>0</v>
      </c>
      <c r="H13" s="19"/>
    </row>
    <row r="14" ht="21.75" customHeight="1" spans="1:8">
      <c r="A14" s="14"/>
      <c r="B14" s="11"/>
      <c r="C14" s="12"/>
      <c r="D14" s="13"/>
      <c r="E14" s="18">
        <f t="shared" si="0"/>
        <v>0</v>
      </c>
      <c r="F14" s="18">
        <f t="shared" si="1"/>
        <v>0</v>
      </c>
      <c r="G14" s="18">
        <f t="shared" si="2"/>
        <v>0</v>
      </c>
      <c r="H14" s="19"/>
    </row>
    <row r="15" ht="21.75" customHeight="1" spans="1:8">
      <c r="A15" s="15"/>
      <c r="B15" s="11"/>
      <c r="C15" s="12"/>
      <c r="D15" s="13"/>
      <c r="E15" s="18">
        <f t="shared" si="0"/>
        <v>0</v>
      </c>
      <c r="F15" s="18">
        <f t="shared" si="1"/>
        <v>0</v>
      </c>
      <c r="G15" s="18">
        <f t="shared" si="2"/>
        <v>0</v>
      </c>
      <c r="H15" s="19"/>
    </row>
    <row r="16" ht="21.75" customHeight="1" spans="1:8">
      <c r="A16" s="15"/>
      <c r="B16" s="11"/>
      <c r="C16" s="12"/>
      <c r="D16" s="13"/>
      <c r="E16" s="18">
        <f t="shared" si="0"/>
        <v>0</v>
      </c>
      <c r="F16" s="18">
        <f t="shared" si="1"/>
        <v>0</v>
      </c>
      <c r="G16" s="18">
        <f t="shared" si="2"/>
        <v>0</v>
      </c>
      <c r="H16" s="19"/>
    </row>
    <row r="17" ht="21.75" customHeight="1" spans="1:8">
      <c r="A17" s="15"/>
      <c r="B17" s="11"/>
      <c r="C17" s="12"/>
      <c r="D17" s="13"/>
      <c r="E17" s="18">
        <f t="shared" si="0"/>
        <v>0</v>
      </c>
      <c r="F17" s="18">
        <f t="shared" si="1"/>
        <v>0</v>
      </c>
      <c r="G17" s="18">
        <f t="shared" si="2"/>
        <v>0</v>
      </c>
      <c r="H17" s="19"/>
    </row>
    <row r="18" ht="21.75" customHeight="1" spans="1:8">
      <c r="A18" s="15"/>
      <c r="B18" s="11"/>
      <c r="C18" s="12"/>
      <c r="D18" s="13"/>
      <c r="E18" s="18">
        <f t="shared" si="0"/>
        <v>0</v>
      </c>
      <c r="F18" s="18">
        <f t="shared" si="1"/>
        <v>0</v>
      </c>
      <c r="G18" s="18">
        <f t="shared" si="2"/>
        <v>0</v>
      </c>
      <c r="H18" s="19"/>
    </row>
    <row r="19" ht="21.75" customHeight="1" spans="1:8">
      <c r="A19" s="15"/>
      <c r="B19" s="11"/>
      <c r="C19" s="12"/>
      <c r="D19" s="13"/>
      <c r="E19" s="18">
        <f t="shared" si="0"/>
        <v>0</v>
      </c>
      <c r="F19" s="18">
        <f t="shared" si="1"/>
        <v>0</v>
      </c>
      <c r="G19" s="18">
        <f t="shared" si="2"/>
        <v>0</v>
      </c>
      <c r="H19" s="19"/>
    </row>
    <row r="20" ht="21.75" customHeight="1" spans="1:8">
      <c r="A20" s="15"/>
      <c r="B20" s="11"/>
      <c r="C20" s="12"/>
      <c r="D20" s="13"/>
      <c r="E20" s="18">
        <f t="shared" si="0"/>
        <v>0</v>
      </c>
      <c r="F20" s="18">
        <f t="shared" si="1"/>
        <v>0</v>
      </c>
      <c r="G20" s="18">
        <f t="shared" si="2"/>
        <v>0</v>
      </c>
      <c r="H20" s="19"/>
    </row>
    <row r="21" ht="21.75" customHeight="1" spans="1:8">
      <c r="A21" s="15"/>
      <c r="B21" s="11"/>
      <c r="C21" s="12"/>
      <c r="D21" s="13"/>
      <c r="E21" s="18">
        <f t="shared" si="0"/>
        <v>0</v>
      </c>
      <c r="F21" s="18">
        <f t="shared" si="1"/>
        <v>0</v>
      </c>
      <c r="G21" s="18">
        <f t="shared" si="2"/>
        <v>0</v>
      </c>
      <c r="H21" s="19"/>
    </row>
    <row r="22" ht="21.75" customHeight="1" spans="1:8">
      <c r="A22" s="15"/>
      <c r="B22" s="11"/>
      <c r="C22" s="12"/>
      <c r="D22" s="13"/>
      <c r="E22" s="18">
        <f t="shared" si="0"/>
        <v>0</v>
      </c>
      <c r="F22" s="18">
        <f t="shared" si="1"/>
        <v>0</v>
      </c>
      <c r="G22" s="18">
        <f t="shared" si="2"/>
        <v>0</v>
      </c>
      <c r="H22" s="19"/>
    </row>
    <row r="23" ht="21.75" customHeight="1" spans="1:8">
      <c r="A23" s="15"/>
      <c r="B23" s="11"/>
      <c r="C23" s="12"/>
      <c r="D23" s="13"/>
      <c r="E23" s="18">
        <f t="shared" si="0"/>
        <v>0</v>
      </c>
      <c r="F23" s="18">
        <f t="shared" si="1"/>
        <v>0</v>
      </c>
      <c r="G23" s="18">
        <f t="shared" si="2"/>
        <v>0</v>
      </c>
      <c r="H23" s="19"/>
    </row>
    <row r="24" ht="21.75" customHeight="1" spans="1:8">
      <c r="A24" s="15"/>
      <c r="B24" s="11"/>
      <c r="C24" s="12"/>
      <c r="D24" s="13"/>
      <c r="E24" s="18">
        <f t="shared" si="0"/>
        <v>0</v>
      </c>
      <c r="F24" s="18">
        <f t="shared" si="1"/>
        <v>0</v>
      </c>
      <c r="G24" s="18">
        <f t="shared" si="2"/>
        <v>0</v>
      </c>
      <c r="H24" s="19"/>
    </row>
    <row r="25" ht="21.75" customHeight="1" spans="1:8">
      <c r="A25" s="15"/>
      <c r="B25" s="11"/>
      <c r="C25" s="12"/>
      <c r="D25" s="13"/>
      <c r="E25" s="18">
        <f t="shared" si="0"/>
        <v>0</v>
      </c>
      <c r="F25" s="18">
        <f t="shared" si="1"/>
        <v>0</v>
      </c>
      <c r="G25" s="18">
        <f t="shared" si="2"/>
        <v>0</v>
      </c>
      <c r="H25" s="19"/>
    </row>
    <row r="26" ht="21.75" customHeight="1" spans="1:8">
      <c r="A26" s="15"/>
      <c r="B26" s="11"/>
      <c r="C26" s="12"/>
      <c r="D26" s="13"/>
      <c r="E26" s="18">
        <f t="shared" si="0"/>
        <v>0</v>
      </c>
      <c r="F26" s="18">
        <f t="shared" si="1"/>
        <v>0</v>
      </c>
      <c r="G26" s="18">
        <f t="shared" si="2"/>
        <v>0</v>
      </c>
      <c r="H26" s="19"/>
    </row>
    <row r="27" ht="21.75" customHeight="1" spans="1:8">
      <c r="A27" s="15"/>
      <c r="B27" s="11"/>
      <c r="C27" s="12"/>
      <c r="D27" s="13"/>
      <c r="E27" s="18">
        <f t="shared" si="0"/>
        <v>0</v>
      </c>
      <c r="F27" s="18">
        <f t="shared" si="1"/>
        <v>0</v>
      </c>
      <c r="G27" s="18">
        <f t="shared" si="2"/>
        <v>0</v>
      </c>
      <c r="H27" s="19"/>
    </row>
    <row r="28" ht="21.75" customHeight="1" spans="1:8">
      <c r="A28" s="15"/>
      <c r="B28" s="11"/>
      <c r="C28" s="12"/>
      <c r="D28" s="13"/>
      <c r="E28" s="18">
        <f t="shared" si="0"/>
        <v>0</v>
      </c>
      <c r="F28" s="18">
        <f t="shared" si="1"/>
        <v>0</v>
      </c>
      <c r="G28" s="18">
        <f t="shared" si="2"/>
        <v>0</v>
      </c>
      <c r="H28" s="19"/>
    </row>
    <row r="29" ht="21.75" customHeight="1" spans="1:8">
      <c r="A29" s="15"/>
      <c r="B29" s="11"/>
      <c r="C29" s="12"/>
      <c r="D29" s="13"/>
      <c r="E29" s="18">
        <f t="shared" si="0"/>
        <v>0</v>
      </c>
      <c r="F29" s="18">
        <f t="shared" si="1"/>
        <v>0</v>
      </c>
      <c r="G29" s="18">
        <f t="shared" si="2"/>
        <v>0</v>
      </c>
      <c r="H29" s="19"/>
    </row>
    <row r="30" ht="21.75" customHeight="1" spans="1:8">
      <c r="A30" s="15"/>
      <c r="B30" s="11"/>
      <c r="C30" s="12"/>
      <c r="D30" s="13"/>
      <c r="E30" s="18">
        <f t="shared" si="0"/>
        <v>0</v>
      </c>
      <c r="F30" s="18">
        <f t="shared" si="1"/>
        <v>0</v>
      </c>
      <c r="G30" s="18">
        <f t="shared" si="2"/>
        <v>0</v>
      </c>
      <c r="H30" s="19"/>
    </row>
    <row r="31" ht="21.75" customHeight="1" spans="1:8">
      <c r="A31" s="15"/>
      <c r="B31" s="11"/>
      <c r="C31" s="12"/>
      <c r="D31" s="13"/>
      <c r="E31" s="18">
        <f t="shared" si="0"/>
        <v>0</v>
      </c>
      <c r="F31" s="18">
        <f t="shared" si="1"/>
        <v>0</v>
      </c>
      <c r="G31" s="18">
        <f t="shared" si="2"/>
        <v>0</v>
      </c>
      <c r="H31" s="19"/>
    </row>
    <row r="32" ht="21.75" customHeight="1" spans="1:8">
      <c r="A32" s="15"/>
      <c r="B32" s="11"/>
      <c r="C32" s="12"/>
      <c r="D32" s="13"/>
      <c r="E32" s="18">
        <f t="shared" si="0"/>
        <v>0</v>
      </c>
      <c r="F32" s="18">
        <f t="shared" si="1"/>
        <v>0</v>
      </c>
      <c r="G32" s="18">
        <f t="shared" si="2"/>
        <v>0</v>
      </c>
      <c r="H32" s="19"/>
    </row>
    <row r="33" ht="21.75" customHeight="1" spans="1:8">
      <c r="A33" s="15"/>
      <c r="B33" s="11"/>
      <c r="C33" s="12"/>
      <c r="D33" s="13"/>
      <c r="E33" s="18">
        <f t="shared" si="0"/>
        <v>0</v>
      </c>
      <c r="F33" s="18">
        <f t="shared" si="1"/>
        <v>0</v>
      </c>
      <c r="G33" s="18">
        <f t="shared" si="2"/>
        <v>0</v>
      </c>
      <c r="H33" s="19"/>
    </row>
    <row r="34" ht="21.75" customHeight="1" spans="1:8">
      <c r="A34" s="15"/>
      <c r="B34" s="11"/>
      <c r="C34" s="12"/>
      <c r="D34" s="13"/>
      <c r="E34" s="18">
        <f t="shared" si="0"/>
        <v>0</v>
      </c>
      <c r="F34" s="18">
        <f t="shared" si="1"/>
        <v>0</v>
      </c>
      <c r="G34" s="18">
        <f t="shared" si="2"/>
        <v>0</v>
      </c>
      <c r="H34" s="19"/>
    </row>
  </sheetData>
  <mergeCells count="2">
    <mergeCell ref="B1:H1"/>
    <mergeCell ref="B2:H2"/>
  </mergeCells>
  <dataValidations count="1">
    <dataValidation type="list" showInputMessage="1" showErrorMessage="1" sqref="B8:B34">
      <formula1>$O$7:$O$8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tabSelected="1" topLeftCell="A3" workbookViewId="0">
      <selection activeCell="N13" sqref="N13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-7984.08223999999</v>
      </c>
    </row>
    <row r="5" ht="19.5" customHeight="1" spans="1:4">
      <c r="A5" s="26">
        <f ca="1">NETWORKDAYS(A7,TODAY())</f>
        <v>5</v>
      </c>
      <c r="B5" s="5" t="s">
        <v>42</v>
      </c>
      <c r="C5" s="28" t="s">
        <v>43</v>
      </c>
      <c r="D5" s="5">
        <v>15.58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45583</v>
      </c>
      <c r="B7" s="16">
        <f>IF(C7=0,0,(SUMIFS(O7:O33,L7:L33,"买入")+SUM(P7:P33)+SUM(Q7:Q33)-SUMIFS(O7:O33,L7:L33,"卖出"))/C7)</f>
        <v>94.8204111999999</v>
      </c>
      <c r="C7" s="26">
        <f>SUMIFS(N7:N33,L7:L33,"买入")-SUMIFS(N7:N33,L7:L33,"卖出")</f>
        <v>100</v>
      </c>
      <c r="D7" s="5"/>
      <c r="E7" s="5"/>
      <c r="F7" s="5"/>
      <c r="G7" s="22"/>
      <c r="H7" s="34">
        <f>SUM(P7:P33)+SUM(Q7:Q33)</f>
        <v>60.04112</v>
      </c>
      <c r="I7" s="5"/>
      <c r="K7" s="22">
        <v>45583</v>
      </c>
      <c r="L7" s="11" t="s">
        <v>38</v>
      </c>
      <c r="M7" s="12">
        <v>18.44</v>
      </c>
      <c r="N7" s="13">
        <v>2800</v>
      </c>
      <c r="O7" s="18">
        <f t="shared" ref="O7:O33" si="0">M7*N7</f>
        <v>51632</v>
      </c>
      <c r="P7" s="18">
        <f>IF(O7=0,0,IF((O7*1/10000)&lt;5,5+O7*0.1/10000,(O7*1.1/10000)))</f>
        <v>5.67952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45586</v>
      </c>
      <c r="L8" s="11" t="s">
        <v>40</v>
      </c>
      <c r="M8" s="12">
        <v>18.8</v>
      </c>
      <c r="N8" s="13">
        <v>400</v>
      </c>
      <c r="O8" s="18">
        <f t="shared" si="0"/>
        <v>7520</v>
      </c>
      <c r="P8" s="18">
        <f>IF(O8=0,0,IF((O8*1/10000)&lt;5,5+O8*0.1/10000,(O8*1.1/10000)))</f>
        <v>5.0752</v>
      </c>
      <c r="Q8" s="18">
        <f t="shared" si="1"/>
        <v>3.76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45586</v>
      </c>
      <c r="L9" s="11" t="s">
        <v>40</v>
      </c>
      <c r="M9" s="12">
        <v>18.8</v>
      </c>
      <c r="N9" s="13">
        <v>300</v>
      </c>
      <c r="O9" s="18">
        <f t="shared" si="0"/>
        <v>5640</v>
      </c>
      <c r="P9" s="18">
        <f>IF(O9=0,0,IF((O9*1/10000)&lt;5,5+O9*0.1/10000,(O9*1.1/10000)))</f>
        <v>5.0564</v>
      </c>
      <c r="Q9" s="18">
        <f t="shared" si="1"/>
        <v>2.82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45587</v>
      </c>
      <c r="L10" s="11" t="s">
        <v>38</v>
      </c>
      <c r="M10" s="12">
        <v>17.5</v>
      </c>
      <c r="N10" s="13">
        <v>1500</v>
      </c>
      <c r="O10" s="18">
        <f t="shared" si="0"/>
        <v>26250</v>
      </c>
      <c r="P10" s="18">
        <f t="shared" ref="P10:P33" si="2">IF(OR(ISNUMBER(SEARCH("00",C5)),ISNUMBER(SEARCH("300",C5))),IF(O10=0,0,IF((O10*0.854/10000)&lt;5,5,(O10*0.954/10000))),IF(O10=0,0,IF((O10*0.854/10000)&lt;5,5,(O10*0.954/10000))))</f>
        <v>5</v>
      </c>
      <c r="Q10" s="18">
        <f t="shared" si="1"/>
        <v>0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>
        <v>45589</v>
      </c>
      <c r="L11" s="11" t="s">
        <v>40</v>
      </c>
      <c r="M11" s="12">
        <v>15.8</v>
      </c>
      <c r="N11" s="13">
        <v>3500</v>
      </c>
      <c r="O11" s="18">
        <f t="shared" si="0"/>
        <v>55300</v>
      </c>
      <c r="P11" s="18">
        <f t="shared" si="2"/>
        <v>5</v>
      </c>
      <c r="Q11" s="18">
        <f t="shared" si="1"/>
        <v>27.65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topLeftCell="A3" workbookViewId="0">
      <selection activeCell="M13" sqref="M13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-4533.37208</v>
      </c>
    </row>
    <row r="5" ht="19.5" customHeight="1" spans="1:4">
      <c r="A5" s="26">
        <f ca="1">NETWORKDAYS(A7,TODAY())</f>
        <v>5</v>
      </c>
      <c r="B5" s="5" t="s">
        <v>44</v>
      </c>
      <c r="C5" s="28" t="s">
        <v>43</v>
      </c>
      <c r="D5" s="5">
        <v>0.952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45583</v>
      </c>
      <c r="B7" s="16">
        <f>IF(C7=0,0,(SUMIFS(O7:O33,L7:L33,"买入")+SUM(P7:P33)+SUM(Q7:Q33)-SUMIFS(O7:O33,L7:L33,"卖出"))/C7)</f>
        <v>1.04664615146444</v>
      </c>
      <c r="C7" s="26">
        <f>SUMIFS(N7:N33,L7:L33,"买入")-SUMIFS(N7:N33,L7:L33,"卖出")</f>
        <v>47800</v>
      </c>
      <c r="D7" s="5"/>
      <c r="E7" s="5"/>
      <c r="F7" s="5"/>
      <c r="G7" s="22"/>
      <c r="H7" s="34">
        <f>SUM(P7:P33)+SUM(Q7:Q33)</f>
        <v>9.28604</v>
      </c>
      <c r="I7" s="5"/>
      <c r="K7" s="22">
        <v>45573</v>
      </c>
      <c r="L7" s="11" t="s">
        <v>38</v>
      </c>
      <c r="M7" s="12">
        <v>1.174</v>
      </c>
      <c r="N7" s="13">
        <v>17600</v>
      </c>
      <c r="O7" s="18">
        <f t="shared" ref="O7:O33" si="0">M7*N7</f>
        <v>20662.4</v>
      </c>
      <c r="P7" s="18">
        <f t="shared" ref="P7:P33" si="1">IF(O7=0,0,O7*1/10000)</f>
        <v>2.06624</v>
      </c>
      <c r="Q7" s="18"/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45574</v>
      </c>
      <c r="L8" s="11" t="s">
        <v>38</v>
      </c>
      <c r="M8" s="12">
        <v>1.022</v>
      </c>
      <c r="N8" s="13">
        <v>5000</v>
      </c>
      <c r="O8" s="18">
        <f t="shared" si="0"/>
        <v>5110</v>
      </c>
      <c r="P8" s="18">
        <f t="shared" si="1"/>
        <v>0.511</v>
      </c>
      <c r="Q8" s="18"/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45580</v>
      </c>
      <c r="L9" s="11" t="s">
        <v>38</v>
      </c>
      <c r="M9" s="12">
        <v>0.932</v>
      </c>
      <c r="N9" s="13">
        <v>49000</v>
      </c>
      <c r="O9" s="18">
        <f t="shared" si="0"/>
        <v>45668</v>
      </c>
      <c r="P9" s="18">
        <f t="shared" si="1"/>
        <v>4.5668</v>
      </c>
      <c r="Q9" s="18"/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45583</v>
      </c>
      <c r="L10" s="11" t="s">
        <v>40</v>
      </c>
      <c r="M10" s="12">
        <v>0.9</v>
      </c>
      <c r="N10" s="13">
        <v>23800</v>
      </c>
      <c r="O10" s="18">
        <f t="shared" si="0"/>
        <v>21420</v>
      </c>
      <c r="P10" s="18">
        <f t="shared" si="1"/>
        <v>2.142</v>
      </c>
      <c r="Q10" s="18"/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>
        <f t="shared" ref="Q11:Q33" si="2">IFERROR(_xlfn.IFS(L11="买入",0,L11="卖出",O11*0.5/1000),0)</f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>
        <f t="shared" si="2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>
        <f t="shared" si="2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>
        <f t="shared" si="2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>
        <f t="shared" si="2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si="2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7"/>
  <sheetViews>
    <sheetView topLeftCell="A3" workbookViewId="0">
      <selection activeCell="B5" sqref="B5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1532.82974</v>
      </c>
    </row>
    <row r="5" ht="19.5" customHeight="1" spans="1:4">
      <c r="A5" s="26">
        <f ca="1">NETWORKDAYS(A7,TODAY())</f>
        <v>13</v>
      </c>
      <c r="B5" s="5" t="s">
        <v>45</v>
      </c>
      <c r="C5" s="28" t="s">
        <v>46</v>
      </c>
      <c r="D5" s="5">
        <v>0.976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45573</v>
      </c>
      <c r="B7" s="16">
        <f>IF(C7=0,0,(SUMIFS(O7:O34,L7:L34,"买入")+SUM(P7:P34)+SUM(Q7:Q34)-SUMIFS(O7:O34,L7:L34,"卖出"))/C7)</f>
        <v>0.935336880052493</v>
      </c>
      <c r="C7" s="26">
        <f>SUMIFS(N7:N34,L7:L34,"买入")-SUMIFS(N7:N34,L7:L34,"卖出")</f>
        <v>38100</v>
      </c>
      <c r="D7" s="5"/>
      <c r="E7" s="5"/>
      <c r="F7" s="5"/>
      <c r="G7" s="22"/>
      <c r="H7" s="34">
        <f>SUM(P7:P34)+SUM(Q7:Q34)</f>
        <v>16.43513</v>
      </c>
      <c r="I7" s="5"/>
      <c r="K7" s="22">
        <v>45580</v>
      </c>
      <c r="L7" s="11" t="s">
        <v>38</v>
      </c>
      <c r="M7" s="12">
        <v>0.898</v>
      </c>
      <c r="N7" s="13">
        <v>55700</v>
      </c>
      <c r="O7" s="18">
        <f t="shared" ref="O7:O34" si="0">M7*N7</f>
        <v>50018.6</v>
      </c>
      <c r="P7" s="18">
        <f t="shared" ref="P7:P34" si="1">IF(O7=0,0,O7*1/10000)</f>
        <v>5.00186</v>
      </c>
      <c r="Q7" s="18"/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45581</v>
      </c>
      <c r="L8" s="11" t="s">
        <v>38</v>
      </c>
      <c r="M8" s="12">
        <v>0.873</v>
      </c>
      <c r="N8" s="13">
        <v>10000</v>
      </c>
      <c r="O8" s="18">
        <f t="shared" si="0"/>
        <v>8730</v>
      </c>
      <c r="P8" s="18">
        <f t="shared" si="1"/>
        <v>0.873</v>
      </c>
      <c r="Q8" s="18"/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45582</v>
      </c>
      <c r="L9" s="11" t="s">
        <v>40</v>
      </c>
      <c r="M9" s="12">
        <v>0.895</v>
      </c>
      <c r="N9" s="13">
        <v>10000</v>
      </c>
      <c r="O9" s="18">
        <f t="shared" si="0"/>
        <v>8950</v>
      </c>
      <c r="P9" s="18">
        <f t="shared" si="1"/>
        <v>0.895</v>
      </c>
      <c r="Q9" s="18"/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45582</v>
      </c>
      <c r="L10" s="11" t="s">
        <v>38</v>
      </c>
      <c r="M10" s="12">
        <v>0.88</v>
      </c>
      <c r="N10" s="13">
        <v>10000</v>
      </c>
      <c r="O10" s="18">
        <f t="shared" si="0"/>
        <v>8800</v>
      </c>
      <c r="P10" s="18">
        <f t="shared" si="1"/>
        <v>0.88</v>
      </c>
      <c r="Q10" s="18"/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>
        <v>45583</v>
      </c>
      <c r="L11" s="11" t="s">
        <v>40</v>
      </c>
      <c r="M11" s="12">
        <v>0.902</v>
      </c>
      <c r="N11" s="13">
        <v>21900</v>
      </c>
      <c r="O11" s="18">
        <f t="shared" si="0"/>
        <v>19753.8</v>
      </c>
      <c r="P11" s="18">
        <f t="shared" si="1"/>
        <v>1.97538</v>
      </c>
      <c r="Q11" s="18"/>
    </row>
    <row r="12" ht="21.75" customHeight="1" spans="4:17">
      <c r="D12" s="5"/>
      <c r="E12" s="5"/>
      <c r="F12" s="5"/>
      <c r="K12" s="22">
        <v>45583</v>
      </c>
      <c r="L12" s="11" t="s">
        <v>40</v>
      </c>
      <c r="M12" s="12">
        <v>0.905</v>
      </c>
      <c r="N12" s="13">
        <v>21900</v>
      </c>
      <c r="O12" s="18">
        <f t="shared" si="0"/>
        <v>19819.5</v>
      </c>
      <c r="P12" s="18">
        <f t="shared" si="1"/>
        <v>1.98195</v>
      </c>
      <c r="Q12" s="18"/>
    </row>
    <row r="13" ht="21.75" customHeight="1" spans="4:17">
      <c r="D13" s="5"/>
      <c r="E13" s="5"/>
      <c r="F13" s="5"/>
      <c r="K13" s="22">
        <v>45583</v>
      </c>
      <c r="L13" s="11" t="s">
        <v>40</v>
      </c>
      <c r="M13" s="12">
        <v>0.966</v>
      </c>
      <c r="N13" s="13">
        <v>5500</v>
      </c>
      <c r="O13" s="18">
        <f t="shared" si="0"/>
        <v>5313</v>
      </c>
      <c r="P13" s="18">
        <f t="shared" si="1"/>
        <v>0.5313</v>
      </c>
      <c r="Q13" s="18"/>
    </row>
    <row r="14" ht="21.75" customHeight="1" spans="4:17">
      <c r="D14" s="5"/>
      <c r="E14" s="5"/>
      <c r="F14" s="5"/>
      <c r="K14" s="22">
        <v>45583</v>
      </c>
      <c r="L14" s="11" t="s">
        <v>40</v>
      </c>
      <c r="M14" s="12">
        <v>0.966</v>
      </c>
      <c r="N14" s="13">
        <v>10900</v>
      </c>
      <c r="O14" s="18">
        <f t="shared" si="0"/>
        <v>10529.4</v>
      </c>
      <c r="P14" s="18">
        <f t="shared" si="1"/>
        <v>1.05294</v>
      </c>
      <c r="Q14" s="18"/>
    </row>
    <row r="15" ht="21.75" customHeight="1" spans="4:17">
      <c r="D15" s="5"/>
      <c r="E15" s="5"/>
      <c r="F15" s="5"/>
      <c r="K15" s="22">
        <v>45587</v>
      </c>
      <c r="L15" s="11" t="s">
        <v>38</v>
      </c>
      <c r="M15" s="12">
        <v>0.995</v>
      </c>
      <c r="N15" s="13">
        <v>32600</v>
      </c>
      <c r="O15" s="18">
        <f t="shared" si="0"/>
        <v>32437</v>
      </c>
      <c r="P15" s="18">
        <f t="shared" si="1"/>
        <v>3.2437</v>
      </c>
      <c r="Q15" s="18"/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ref="Q16:Q34" si="2">IFERROR(_xlfn.IFS(L16="买入",0,L16="卖出",O16*0.5/1000),0)</f>
        <v>0</v>
      </c>
    </row>
    <row r="17" ht="21.75" customHeight="1" spans="4:17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</row>
    <row r="18" ht="21.75" customHeight="1" spans="4:28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  <c r="AB18" s="18"/>
    </row>
    <row r="19" ht="21.75" customHeight="1" spans="4:2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  <c r="AA19" s="24"/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17">
      <c r="D34" s="5"/>
      <c r="E34" s="5"/>
      <c r="F34" s="5"/>
      <c r="K34" s="22"/>
      <c r="L34" s="11"/>
      <c r="M34" s="12"/>
      <c r="N34" s="13"/>
      <c r="O34" s="18">
        <f t="shared" si="0"/>
        <v>0</v>
      </c>
      <c r="P34" s="18">
        <f t="shared" si="1"/>
        <v>0</v>
      </c>
      <c r="Q34" s="18">
        <f t="shared" si="2"/>
        <v>0</v>
      </c>
    </row>
    <row r="35" ht="21.75" customHeight="1" spans="4:6">
      <c r="D35" s="5"/>
      <c r="E35" s="5"/>
      <c r="F35" s="5"/>
    </row>
    <row r="36" ht="21.75" customHeight="1" spans="4:6">
      <c r="D36" s="5"/>
      <c r="E36" s="5"/>
      <c r="F36" s="5"/>
    </row>
    <row r="37" ht="21.75" customHeight="1"/>
  </sheetData>
  <mergeCells count="2">
    <mergeCell ref="B1:I1"/>
    <mergeCell ref="B2:I2"/>
  </mergeCells>
  <conditionalFormatting sqref="I4">
    <cfRule type="expression" dxfId="4" priority="1">
      <formula>$I$4&lt;0</formula>
    </cfRule>
    <cfRule type="expression" dxfId="3" priority="2">
      <formula>$I$4&gt;0</formula>
    </cfRule>
  </conditionalFormatting>
  <conditionalFormatting sqref="I7:I34">
    <cfRule type="cellIs" dxfId="4" priority="3" operator="lessThan">
      <formula>0</formula>
    </cfRule>
    <cfRule type="cellIs" dxfId="3" priority="4" operator="greaterThan">
      <formula>0</formula>
    </cfRule>
  </conditionalFormatting>
  <dataValidations count="1">
    <dataValidation type="list" showInputMessage="1" showErrorMessage="1" sqref="L14 L7:L13 L15:L34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7"/>
  <sheetViews>
    <sheetView topLeftCell="A3" workbookViewId="0">
      <selection activeCell="C10" sqref="C10"/>
    </sheetView>
  </sheetViews>
  <sheetFormatPr defaultColWidth="9" defaultRowHeight="13.45"/>
  <cols>
    <col min="1" max="1" width="15.6216216216216" style="2" customWidth="1"/>
    <col min="2" max="2" width="16.2342342342342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368.565919999999</v>
      </c>
    </row>
    <row r="5" ht="19.5" customHeight="1" spans="1:4">
      <c r="A5" s="26">
        <f ca="1">NETWORKDAYS(A7,TODAY())</f>
        <v>13</v>
      </c>
      <c r="B5" s="5" t="s">
        <v>47</v>
      </c>
      <c r="C5" s="28" t="s">
        <v>48</v>
      </c>
      <c r="D5" s="5">
        <v>0.965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45573</v>
      </c>
      <c r="B7" s="16">
        <f>IF(C7=0,0,(SUMIFS(O7:O34,L7:L34,"买入")+SUM(P7:P34)+SUM(Q7:Q34)-SUMIFS(O7:O34,L7:L34,"卖出"))/C7)</f>
        <v>0.9570957</v>
      </c>
      <c r="C7" s="26">
        <f>SUMIFS(N7:N34,L7:L34,"买入")-SUMIFS(N7:N34,L7:L34,"卖出")</f>
        <v>47200</v>
      </c>
      <c r="D7" s="5"/>
      <c r="E7" s="5"/>
      <c r="F7" s="5"/>
      <c r="G7" s="22"/>
      <c r="H7" s="34">
        <f>SUM(P7:P34)+SUM(Q7:Q34)</f>
        <v>4.51704</v>
      </c>
      <c r="I7" s="5"/>
      <c r="K7" s="22">
        <v>45587</v>
      </c>
      <c r="L7" s="11" t="s">
        <v>38</v>
      </c>
      <c r="M7" s="12">
        <v>0.957</v>
      </c>
      <c r="N7" s="13">
        <v>47200</v>
      </c>
      <c r="O7" s="18">
        <f t="shared" ref="O7:O34" si="0">M7*N7</f>
        <v>45170.4</v>
      </c>
      <c r="P7" s="18">
        <f t="shared" ref="P7:P34" si="1">IF(O7=0,0,O7*1/10000)</f>
        <v>4.51704</v>
      </c>
      <c r="Q7" s="18"/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/>
      <c r="L8" s="11"/>
      <c r="M8" s="12"/>
      <c r="N8" s="13"/>
      <c r="O8" s="18">
        <f t="shared" si="0"/>
        <v>0</v>
      </c>
      <c r="P8" s="18">
        <f t="shared" si="1"/>
        <v>0</v>
      </c>
      <c r="Q8" s="18"/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/>
      <c r="L9" s="11"/>
      <c r="M9" s="12"/>
      <c r="N9" s="13"/>
      <c r="O9" s="18">
        <f t="shared" si="0"/>
        <v>0</v>
      </c>
      <c r="P9" s="18">
        <f t="shared" si="1"/>
        <v>0</v>
      </c>
      <c r="Q9" s="18"/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/>
      <c r="L10" s="11"/>
      <c r="M10" s="12"/>
      <c r="N10" s="13"/>
      <c r="O10" s="18">
        <f t="shared" si="0"/>
        <v>0</v>
      </c>
      <c r="P10" s="18">
        <f t="shared" si="1"/>
        <v>0</v>
      </c>
      <c r="Q10" s="18"/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/>
      <c r="L11" s="11"/>
      <c r="M11" s="12"/>
      <c r="N11" s="13"/>
      <c r="O11" s="18">
        <f t="shared" si="0"/>
        <v>0</v>
      </c>
      <c r="P11" s="18">
        <f t="shared" si="1"/>
        <v>0</v>
      </c>
      <c r="Q11" s="18"/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1"/>
        <v>0</v>
      </c>
      <c r="Q12" s="18"/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1"/>
        <v>0</v>
      </c>
      <c r="Q13" s="18"/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1"/>
        <v>0</v>
      </c>
      <c r="Q14" s="18"/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1"/>
        <v>0</v>
      </c>
      <c r="Q15" s="18"/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1"/>
        <v>0</v>
      </c>
      <c r="Q16" s="18">
        <f t="shared" ref="Q16:Q34" si="2">IFERROR(_xlfn.IFS(L16="买入",0,L16="卖出",O16*0.5/1000),0)</f>
        <v>0</v>
      </c>
    </row>
    <row r="17" ht="21.75" customHeight="1" spans="4:17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1"/>
        <v>0</v>
      </c>
      <c r="Q17" s="18">
        <f t="shared" si="2"/>
        <v>0</v>
      </c>
    </row>
    <row r="18" ht="21.75" customHeight="1" spans="4:28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1"/>
        <v>0</v>
      </c>
      <c r="Q18" s="18">
        <f t="shared" si="2"/>
        <v>0</v>
      </c>
      <c r="AA18" s="24"/>
      <c r="AB18" s="18"/>
    </row>
    <row r="19" ht="21.75" customHeight="1" spans="4:2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1"/>
        <v>0</v>
      </c>
      <c r="Q19" s="18">
        <f t="shared" si="2"/>
        <v>0</v>
      </c>
      <c r="AA19" s="24"/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1"/>
        <v>0</v>
      </c>
      <c r="Q20" s="18">
        <f t="shared" si="2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1"/>
        <v>0</v>
      </c>
      <c r="Q21" s="18">
        <f t="shared" si="2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1"/>
        <v>0</v>
      </c>
      <c r="Q22" s="18">
        <f t="shared" si="2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1"/>
        <v>0</v>
      </c>
      <c r="Q23" s="18">
        <f t="shared" si="2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1"/>
        <v>0</v>
      </c>
      <c r="Q24" s="18">
        <f t="shared" si="2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1"/>
        <v>0</v>
      </c>
      <c r="Q25" s="18">
        <f t="shared" si="2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1"/>
        <v>0</v>
      </c>
      <c r="Q26" s="18">
        <f t="shared" si="2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1"/>
        <v>0</v>
      </c>
      <c r="Q27" s="18">
        <f t="shared" si="2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1"/>
        <v>0</v>
      </c>
      <c r="Q28" s="18">
        <f t="shared" si="2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1"/>
        <v>0</v>
      </c>
      <c r="Q29" s="18">
        <f t="shared" si="2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1"/>
        <v>0</v>
      </c>
      <c r="Q30" s="18">
        <f t="shared" si="2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1"/>
        <v>0</v>
      </c>
      <c r="Q31" s="18">
        <f t="shared" si="2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1"/>
        <v>0</v>
      </c>
      <c r="Q32" s="18">
        <f t="shared" si="2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1"/>
        <v>0</v>
      </c>
      <c r="Q33" s="18">
        <f t="shared" si="2"/>
        <v>0</v>
      </c>
    </row>
    <row r="34" ht="21.75" customHeight="1" spans="4:17">
      <c r="D34" s="5"/>
      <c r="E34" s="5"/>
      <c r="F34" s="5"/>
      <c r="K34" s="22"/>
      <c r="L34" s="11"/>
      <c r="M34" s="12"/>
      <c r="N34" s="13"/>
      <c r="O34" s="18">
        <f t="shared" si="0"/>
        <v>0</v>
      </c>
      <c r="P34" s="18">
        <f t="shared" si="1"/>
        <v>0</v>
      </c>
      <c r="Q34" s="18">
        <f t="shared" si="2"/>
        <v>0</v>
      </c>
    </row>
    <row r="35" ht="21.75" customHeight="1" spans="4:6">
      <c r="D35" s="5"/>
      <c r="E35" s="5"/>
      <c r="F35" s="5"/>
    </row>
    <row r="36" ht="21.75" customHeight="1" spans="4:6">
      <c r="D36" s="5"/>
      <c r="E36" s="5"/>
      <c r="F36" s="5"/>
    </row>
    <row r="37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4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14 L7:L13 L15:L34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K13" sqref="K13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-3975.10870719999</v>
      </c>
    </row>
    <row r="5" ht="19.5" customHeight="1" spans="1:4">
      <c r="A5" s="26">
        <f ca="1">NETWORKDAYS(A7,TODAY())</f>
        <v>163</v>
      </c>
      <c r="B5" s="5" t="s">
        <v>14</v>
      </c>
      <c r="C5" s="28">
        <v>600809</v>
      </c>
      <c r="D5" s="5">
        <v>257.45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45363</v>
      </c>
      <c r="B7" s="16">
        <f>IF(C7=0,0,(SUMIFS(O7:O33,L7:L33,"买入")+SUM(P7:P33)+SUM(Q7:Q33)-SUMIFS(O7:O33,L7:L33,"卖出"))/C7)</f>
        <v>265.2281087072</v>
      </c>
      <c r="C7" s="26">
        <f>SUMIFS(N7:N33,L7:L33,"买入")-SUMIFS(N7:N33,L7:L33,"卖出")</f>
        <v>500</v>
      </c>
      <c r="D7" s="5"/>
      <c r="E7" s="5"/>
      <c r="F7" s="5"/>
      <c r="G7" s="22"/>
      <c r="H7" s="34">
        <f>SUM(P7:P33)+SUM(Q7:Q33)</f>
        <v>86.0543536</v>
      </c>
      <c r="I7" s="5"/>
      <c r="K7" s="22">
        <v>45363</v>
      </c>
      <c r="L7" s="11" t="s">
        <v>38</v>
      </c>
      <c r="M7" s="12">
        <v>254.89</v>
      </c>
      <c r="N7" s="13">
        <v>200</v>
      </c>
      <c r="O7" s="18">
        <f t="shared" ref="O7:O33" si="0">M7*N7</f>
        <v>50978</v>
      </c>
      <c r="P7" s="18">
        <f>IF(O7=0,0,IF((O7*1/10000)&lt;5,5+O7*0.1/10000,(O7*1.1/10000)))</f>
        <v>5.60758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45400</v>
      </c>
      <c r="L8" s="11" t="s">
        <v>38</v>
      </c>
      <c r="M8" s="12">
        <v>240.29</v>
      </c>
      <c r="N8" s="13">
        <v>300</v>
      </c>
      <c r="O8" s="18">
        <f t="shared" si="0"/>
        <v>72087</v>
      </c>
      <c r="P8" s="18">
        <f>IF(O8=0,0,IF((O8*1/10000)&lt;5,5+O8*0.1/10000,(O8*1.1/10000)))</f>
        <v>7.92957</v>
      </c>
      <c r="Q8" s="18">
        <f t="shared" si="1"/>
        <v>0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45404</v>
      </c>
      <c r="L9" s="11" t="s">
        <v>40</v>
      </c>
      <c r="M9" s="12">
        <v>244.67</v>
      </c>
      <c r="N9" s="13">
        <v>300</v>
      </c>
      <c r="O9" s="18">
        <f t="shared" si="0"/>
        <v>73401</v>
      </c>
      <c r="P9" s="18">
        <f>IF(O9=0,0,IF((O9*1/10000)&lt;5,5+O9*0.1/10000,(O9*1.1/10000)))</f>
        <v>8.07411</v>
      </c>
      <c r="Q9" s="18">
        <f t="shared" si="1"/>
        <v>36.7005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45406</v>
      </c>
      <c r="L10" s="11" t="s">
        <v>40</v>
      </c>
      <c r="M10" s="12">
        <v>249.2</v>
      </c>
      <c r="N10" s="13">
        <v>100</v>
      </c>
      <c r="O10" s="18">
        <f t="shared" si="0"/>
        <v>24920</v>
      </c>
      <c r="P10" s="18">
        <f t="shared" ref="P10:P33" si="2">IF(OR(ISNUMBER(SEARCH("00",C5)),ISNUMBER(SEARCH("300",C5))),IF(O10=0,0,IF((O10*0.854/10000)&lt;5,5,(O10*0.954/10000))),IF(O10=0,0,IF((O10*0.854/10000)&lt;5,5,(O10*0.954/10000))))</f>
        <v>5</v>
      </c>
      <c r="Q10" s="18">
        <f t="shared" si="1"/>
        <v>12.46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>
        <v>45422</v>
      </c>
      <c r="L11" s="11" t="s">
        <v>38</v>
      </c>
      <c r="M11" s="12">
        <v>269.46</v>
      </c>
      <c r="N11" s="13">
        <v>400</v>
      </c>
      <c r="O11" s="18">
        <f t="shared" si="0"/>
        <v>107784</v>
      </c>
      <c r="P11" s="18">
        <f t="shared" si="2"/>
        <v>10.2825936</v>
      </c>
      <c r="Q11" s="18">
        <f t="shared" si="1"/>
        <v>0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4" priority="4" operator="lessThan">
      <formula>0</formula>
    </cfRule>
    <cfRule type="cellIs" dxfId="3" priority="5" operator="greater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I17" sqref="I17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18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3170.3609064</v>
      </c>
      <c r="R4" s="2">
        <f>IF(OR(ISNUMBER(SEARCH("00",C5)),ISNUMBER(SEARCH("300",C5))),IF(O12=0,0,IF((O12*0.854/10000)&lt;5,5,(O12*0.954/10000))),IF(O12=0,0,IF((O12*0.854/10000)&lt;5,5,(O12*0.954/10000))))</f>
        <v>7.8071544</v>
      </c>
    </row>
    <row r="5" ht="19.5" customHeight="1" spans="1:4">
      <c r="A5" s="26">
        <f ca="1">NETWORKDAYS(A7,TODAY())</f>
        <v>148</v>
      </c>
      <c r="B5" s="5" t="s">
        <v>49</v>
      </c>
      <c r="C5" s="28" t="s">
        <v>50</v>
      </c>
      <c r="D5" s="5">
        <v>10.6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45384</v>
      </c>
      <c r="B7" s="16">
        <f>IF(C7=0,0,(SUMIFS(O7:O33,L7:L33,"买入")+SUM(P7:P33)+SUM(Q7:Q33)-SUMIFS(O7:O33,L7:L33,"卖出"))/C7)</f>
        <v>10.036281892918</v>
      </c>
      <c r="C7" s="26">
        <f>SUMIFS(N7:N33,L7:L33,"买入")-SUMIFS(N7:N33,L7:L33,"卖出")</f>
        <v>6100</v>
      </c>
      <c r="D7" s="5"/>
      <c r="E7" s="5"/>
      <c r="F7" s="5"/>
      <c r="G7" s="22"/>
      <c r="H7" s="34">
        <f>SUM(P7:P33)+SUM(Q7:Q33)</f>
        <v>268.3195468</v>
      </c>
      <c r="I7" s="5"/>
      <c r="K7" s="22">
        <v>45384</v>
      </c>
      <c r="L7" s="11" t="s">
        <v>38</v>
      </c>
      <c r="M7" s="12">
        <v>9.95</v>
      </c>
      <c r="N7" s="13">
        <v>5100</v>
      </c>
      <c r="O7" s="18">
        <f t="shared" ref="O7:O33" si="0">M7*N7</f>
        <v>50745</v>
      </c>
      <c r="P7" s="18">
        <f>IF(O7=0,0,IF((O7*1/10000)&lt;5,5+O7*0.1/10000,(O7*1.1/10000)))</f>
        <v>5.58195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45390</v>
      </c>
      <c r="L8" s="11" t="s">
        <v>40</v>
      </c>
      <c r="M8" s="12">
        <v>10.12</v>
      </c>
      <c r="N8" s="13">
        <v>5000</v>
      </c>
      <c r="O8" s="18">
        <f t="shared" si="0"/>
        <v>50600</v>
      </c>
      <c r="P8" s="18">
        <f>IF(O8=0,0,IF((O8*1/10000)&lt;5,5+O8*0.1/10000,(O8*1.1/10000)))</f>
        <v>5.566</v>
      </c>
      <c r="Q8" s="18">
        <f t="shared" si="1"/>
        <v>25.3</v>
      </c>
      <c r="S8" s="2">
        <v>1.1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45400</v>
      </c>
      <c r="L9" s="11" t="s">
        <v>38</v>
      </c>
      <c r="M9" s="12">
        <v>10.26</v>
      </c>
      <c r="N9" s="13">
        <v>5800</v>
      </c>
      <c r="O9" s="18">
        <f t="shared" si="0"/>
        <v>59508</v>
      </c>
      <c r="P9" s="18">
        <f>IF(O9=0,0,IF((O9*1/10000)&lt;5,5+O9*0.1/10000,(O9*1.1/10000)))</f>
        <v>6.54588</v>
      </c>
      <c r="Q9" s="18">
        <f t="shared" si="1"/>
        <v>0</v>
      </c>
      <c r="S9" s="2">
        <f>1-0.854</f>
        <v>0.146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45404</v>
      </c>
      <c r="L10" s="11" t="s">
        <v>40</v>
      </c>
      <c r="M10" s="12">
        <v>10.49</v>
      </c>
      <c r="N10" s="13">
        <v>5800</v>
      </c>
      <c r="O10" s="18">
        <f t="shared" si="0"/>
        <v>60842</v>
      </c>
      <c r="P10" s="18">
        <f>IF(O10=0,0,IF((O10*1/10000)&lt;5,5+O10*0.1/10000,(O10*1.1/10000)))</f>
        <v>6.69262</v>
      </c>
      <c r="Q10" s="18">
        <f t="shared" si="1"/>
        <v>30.421</v>
      </c>
      <c r="S10" s="2">
        <f>S8-S9</f>
        <v>0.954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>
        <v>45405</v>
      </c>
      <c r="L11" s="11" t="s">
        <v>38</v>
      </c>
      <c r="M11" s="12">
        <v>10.19</v>
      </c>
      <c r="N11" s="13">
        <v>6600</v>
      </c>
      <c r="O11" s="18">
        <f t="shared" si="0"/>
        <v>67254</v>
      </c>
      <c r="P11" s="18">
        <f>IF(O11=0,0,IF((O11*1/10000)&lt;5,5+O11*0.1/10000,(O11*1.1/10000)))</f>
        <v>7.39794</v>
      </c>
      <c r="Q11" s="18">
        <f t="shared" si="1"/>
        <v>0</v>
      </c>
    </row>
    <row r="12" ht="21.75" customHeight="1" spans="4:17">
      <c r="D12" s="5"/>
      <c r="E12" s="5"/>
      <c r="F12" s="5"/>
      <c r="K12" s="22">
        <v>45406</v>
      </c>
      <c r="L12" s="11" t="s">
        <v>38</v>
      </c>
      <c r="M12" s="12">
        <v>9.98</v>
      </c>
      <c r="N12" s="13">
        <v>8200</v>
      </c>
      <c r="O12" s="18">
        <f t="shared" si="0"/>
        <v>81836</v>
      </c>
      <c r="P12" s="18">
        <f t="shared" ref="P12:P33" si="2">IF(OR(ISNUMBER(SEARCH("00",C5)),ISNUMBER(SEARCH("300",C5))),IF(O12=0,0,IF((O12*0.854/10000)&lt;5,5,(O12*0.954/10000))),IF(O12=0,0,IF((O12*0.854/10000)&lt;5,5,(O12*0.954/10000))))</f>
        <v>7.8071544</v>
      </c>
      <c r="Q12" s="18">
        <f t="shared" si="1"/>
        <v>0</v>
      </c>
    </row>
    <row r="13" ht="21.75" customHeight="1" spans="4:17">
      <c r="D13" s="5"/>
      <c r="E13" s="5"/>
      <c r="F13" s="5"/>
      <c r="K13" s="22">
        <v>45407</v>
      </c>
      <c r="L13" s="11" t="s">
        <v>40</v>
      </c>
      <c r="M13" s="12">
        <v>10.37</v>
      </c>
      <c r="N13" s="13">
        <v>14800</v>
      </c>
      <c r="O13" s="18">
        <f t="shared" si="0"/>
        <v>153476</v>
      </c>
      <c r="P13" s="18">
        <f t="shared" si="2"/>
        <v>14.6416104</v>
      </c>
      <c r="Q13" s="18">
        <f t="shared" si="1"/>
        <v>76.738</v>
      </c>
    </row>
    <row r="14" ht="21.75" customHeight="1" spans="4:17">
      <c r="D14" s="5"/>
      <c r="E14" s="5"/>
      <c r="F14" s="5"/>
      <c r="K14" s="22">
        <v>45418</v>
      </c>
      <c r="L14" s="11" t="s">
        <v>38</v>
      </c>
      <c r="M14" s="12">
        <v>10.88</v>
      </c>
      <c r="N14" s="13">
        <v>9800</v>
      </c>
      <c r="O14" s="18">
        <f t="shared" si="0"/>
        <v>106624</v>
      </c>
      <c r="P14" s="18">
        <f t="shared" si="2"/>
        <v>10.1719296</v>
      </c>
      <c r="Q14" s="18">
        <f t="shared" si="1"/>
        <v>0</v>
      </c>
    </row>
    <row r="15" ht="21.75" customHeight="1" spans="4:17">
      <c r="D15" s="5"/>
      <c r="E15" s="5"/>
      <c r="F15" s="5"/>
      <c r="K15" s="22">
        <v>45421</v>
      </c>
      <c r="L15" s="11" t="s">
        <v>40</v>
      </c>
      <c r="M15" s="12">
        <v>11.12</v>
      </c>
      <c r="N15" s="13">
        <v>9800</v>
      </c>
      <c r="O15" s="18">
        <f t="shared" si="0"/>
        <v>108976</v>
      </c>
      <c r="P15" s="18">
        <f t="shared" si="2"/>
        <v>10.3963104</v>
      </c>
      <c r="Q15" s="18">
        <f t="shared" si="1"/>
        <v>54.488</v>
      </c>
    </row>
    <row r="16" ht="21.75" customHeight="1" spans="4:17">
      <c r="D16" s="5"/>
      <c r="E16" s="5"/>
      <c r="F16" s="5"/>
      <c r="K16" s="22">
        <v>45422</v>
      </c>
      <c r="L16" s="11" t="s">
        <v>38</v>
      </c>
      <c r="M16" s="12">
        <v>11.48</v>
      </c>
      <c r="N16" s="13">
        <v>6000</v>
      </c>
      <c r="O16" s="18">
        <f t="shared" si="0"/>
        <v>68880</v>
      </c>
      <c r="P16" s="18">
        <f t="shared" si="2"/>
        <v>6.571152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L12" sqref="L12:N12"/>
    </sheetView>
  </sheetViews>
  <sheetFormatPr defaultColWidth="9" defaultRowHeight="13.45"/>
  <cols>
    <col min="1" max="1" width="15.6216216216216" style="2" customWidth="1"/>
    <col min="2" max="2" width="12.8108108108108" style="2" customWidth="1"/>
    <col min="3" max="3" width="14.2162162162162" style="2" customWidth="1"/>
    <col min="4" max="4" width="16.6396396396396" style="2" customWidth="1"/>
    <col min="5" max="5" width="9.12612612612613" style="2" customWidth="1"/>
    <col min="6" max="6" width="11.8738738738739" style="2" customWidth="1"/>
    <col min="7" max="7" width="14.6216216216216" style="2" customWidth="1"/>
    <col min="8" max="8" width="11.8738738738739" style="2" customWidth="1"/>
    <col min="9" max="9" width="18.963963963964" style="2" customWidth="1"/>
    <col min="10" max="10" width="2.74774774774775" style="2" customWidth="1"/>
    <col min="11" max="11" width="14.6216216216216" style="2" customWidth="1"/>
    <col min="12" max="13" width="12.6396396396396" style="2" customWidth="1"/>
    <col min="14" max="14" width="11.8738738738739" style="2" customWidth="1"/>
    <col min="15" max="15" width="14.6216216216216" style="2" customWidth="1"/>
    <col min="16" max="16" width="17.3783783783784" style="2" customWidth="1"/>
    <col min="17" max="20" width="12.6396396396396" style="2" customWidth="1"/>
    <col min="21" max="21" width="6.37837837837838" style="2" hidden="1" customWidth="1"/>
    <col min="22" max="25" width="12.6396396396396" style="2" customWidth="1"/>
    <col min="26" max="26" width="11.7567567567568" style="2" customWidth="1"/>
    <col min="27" max="27" width="16" style="2" customWidth="1"/>
    <col min="28" max="28" width="11.5045045045045" style="2" customWidth="1"/>
    <col min="29" max="29" width="12.6396396396396" style="2" customWidth="1"/>
    <col min="30" max="30" width="11.6486486486486" style="2" customWidth="1"/>
    <col min="31" max="31" width="5.79279279279279" style="2" hidden="1" customWidth="1"/>
    <col min="32" max="32" width="9.36036036036036" style="2" customWidth="1"/>
    <col min="33" max="33" width="9" style="33" hidden="1" customWidth="1"/>
    <col min="34" max="34" width="9.36036036036036" style="2" customWidth="1"/>
    <col min="16383" max="16384" width="11.6396396396396" style="33" customWidth="1"/>
  </cols>
  <sheetData>
    <row r="1" ht="21.75" customHeight="1" spans="2:2">
      <c r="B1" s="3" t="s">
        <v>22</v>
      </c>
    </row>
    <row r="2" s="1" customFormat="1" ht="21.75" customHeight="1" spans="2:36">
      <c r="B2" s="3" t="s">
        <v>23</v>
      </c>
      <c r="AI2"/>
      <c r="AJ2"/>
    </row>
    <row r="4" ht="19.5" customHeight="1" spans="1:9">
      <c r="A4" s="4" t="s">
        <v>2</v>
      </c>
      <c r="B4" s="4" t="s">
        <v>3</v>
      </c>
      <c r="C4" s="4" t="s">
        <v>4</v>
      </c>
      <c r="D4" s="4" t="s">
        <v>24</v>
      </c>
      <c r="E4"/>
      <c r="H4" s="4" t="s">
        <v>25</v>
      </c>
      <c r="I4" s="35">
        <f>(D5-B7)*C7-H7</f>
        <v>-9299.23246159999</v>
      </c>
    </row>
    <row r="5" ht="19.5" customHeight="1" spans="1:4">
      <c r="A5" s="26">
        <f ca="1">NETWORKDAYS(A7,TODAY())</f>
        <v>154</v>
      </c>
      <c r="B5" s="5" t="s">
        <v>51</v>
      </c>
      <c r="C5" s="28" t="s">
        <v>52</v>
      </c>
      <c r="D5" s="5">
        <v>22.38</v>
      </c>
    </row>
    <row r="6" ht="19.5" customHeight="1" spans="1:26">
      <c r="A6" s="4" t="s">
        <v>5</v>
      </c>
      <c r="B6" s="4" t="s">
        <v>6</v>
      </c>
      <c r="C6" s="4" t="s">
        <v>7</v>
      </c>
      <c r="D6" s="4" t="s">
        <v>28</v>
      </c>
      <c r="E6" s="4" t="s">
        <v>9</v>
      </c>
      <c r="F6" s="4" t="s">
        <v>10</v>
      </c>
      <c r="G6" s="4" t="s">
        <v>29</v>
      </c>
      <c r="H6" s="4" t="s">
        <v>30</v>
      </c>
      <c r="I6" s="4" t="s">
        <v>12</v>
      </c>
      <c r="J6" s="5"/>
      <c r="K6" s="9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5"/>
      <c r="S6" s="5"/>
      <c r="T6" s="5"/>
      <c r="U6" s="5"/>
      <c r="V6" s="5"/>
      <c r="W6" s="5"/>
      <c r="X6" s="5"/>
      <c r="Y6" s="5"/>
      <c r="Z6" s="5"/>
    </row>
    <row r="7" ht="21.75" customHeight="1" spans="1:21">
      <c r="A7" s="22">
        <v>45376</v>
      </c>
      <c r="B7" s="16">
        <f>IF(C7=0,0,(SUMIFS(O7:O33,L7:L33,"买入")+SUM(P7:P33)+SUM(Q7:Q33)-SUMIFS(O7:O33,L7:L33,"卖出"))/C7)</f>
        <v>28.9361544505714</v>
      </c>
      <c r="C7" s="26">
        <f>SUMIFS(N7:N33,L7:L33,"买入")-SUMIFS(N7:N33,L7:L33,"卖出")</f>
        <v>1400</v>
      </c>
      <c r="D7" s="5"/>
      <c r="E7" s="5"/>
      <c r="F7" s="5"/>
      <c r="G7" s="22"/>
      <c r="H7" s="34">
        <f>SUM(P7:P33)+SUM(Q7:Q33)</f>
        <v>120.6162308</v>
      </c>
      <c r="I7" s="5"/>
      <c r="K7" s="22">
        <v>45376</v>
      </c>
      <c r="L7" s="11" t="s">
        <v>38</v>
      </c>
      <c r="M7" s="12">
        <v>29.96</v>
      </c>
      <c r="N7" s="13">
        <v>200</v>
      </c>
      <c r="O7" s="18">
        <f t="shared" ref="O7:O33" si="0">M7*N7</f>
        <v>5992</v>
      </c>
      <c r="P7" s="18">
        <f>IF(O7=0,0,IF((O7*1/10000)&lt;5,5+O7*0.1/10000,(O7*1.1/10000)))</f>
        <v>5.05992</v>
      </c>
      <c r="Q7" s="18">
        <f t="shared" ref="Q7:Q33" si="1">IFERROR(_xlfn.IFS(L7="买入",0,L7="卖出",O7*0.5/1000),0)</f>
        <v>0</v>
      </c>
      <c r="U7" s="7" t="s">
        <v>39</v>
      </c>
    </row>
    <row r="8" ht="21.75" customHeight="1" spans="1:21">
      <c r="A8" s="7"/>
      <c r="B8" s="16"/>
      <c r="C8" s="5"/>
      <c r="D8" s="5"/>
      <c r="E8" s="5"/>
      <c r="F8" s="5"/>
      <c r="G8" s="5"/>
      <c r="H8" s="5"/>
      <c r="I8" s="5"/>
      <c r="K8" s="22">
        <v>45384</v>
      </c>
      <c r="L8" s="11" t="s">
        <v>38</v>
      </c>
      <c r="M8" s="12">
        <v>27.04</v>
      </c>
      <c r="N8" s="13">
        <v>500</v>
      </c>
      <c r="O8" s="18">
        <f t="shared" si="0"/>
        <v>13520</v>
      </c>
      <c r="P8" s="18">
        <f>IF(O8=0,0,IF((O8*1/10000)&lt;5,5+O8*0.1/10000,(O8*1.1/10000)))</f>
        <v>5.1352</v>
      </c>
      <c r="Q8" s="18">
        <f t="shared" si="1"/>
        <v>0</v>
      </c>
      <c r="U8" s="7" t="s">
        <v>41</v>
      </c>
    </row>
    <row r="9" ht="21.75" customHeight="1" spans="1:33">
      <c r="A9" s="22"/>
      <c r="B9" s="16"/>
      <c r="C9" s="5"/>
      <c r="D9" s="5"/>
      <c r="E9" s="5"/>
      <c r="F9" s="5"/>
      <c r="G9" s="22"/>
      <c r="H9" s="5"/>
      <c r="I9" s="5"/>
      <c r="K9" s="22">
        <v>45408</v>
      </c>
      <c r="L9" s="11" t="s">
        <v>38</v>
      </c>
      <c r="M9" s="12">
        <v>24.7</v>
      </c>
      <c r="N9" s="13">
        <v>7200</v>
      </c>
      <c r="O9" s="18">
        <f t="shared" si="0"/>
        <v>177840</v>
      </c>
      <c r="P9" s="18">
        <f t="shared" ref="P9:P33" si="2">IF(OR(ISNUMBER(SEARCH("00",C5)),ISNUMBER(SEARCH("300",C5))),IF(O9=0,0,IF((O9*0.854/10000)&lt;5,5,(O9*0.954/10000))),IF(O9=0,0,IF((O9*0.854/10000)&lt;5,5,(O9*0.954/10000))))</f>
        <v>16.965936</v>
      </c>
      <c r="Q9" s="18">
        <f t="shared" si="1"/>
        <v>0</v>
      </c>
      <c r="AE9" t="s">
        <v>38</v>
      </c>
      <c r="AG9" t="s">
        <v>38</v>
      </c>
    </row>
    <row r="10" ht="21.75" customHeight="1" spans="1:33">
      <c r="A10" s="22"/>
      <c r="D10" s="5"/>
      <c r="E10" s="5"/>
      <c r="F10" s="5"/>
      <c r="K10" s="22">
        <v>45411</v>
      </c>
      <c r="L10" s="11" t="s">
        <v>40</v>
      </c>
      <c r="M10" s="12">
        <v>25.06</v>
      </c>
      <c r="N10" s="13">
        <v>2600</v>
      </c>
      <c r="O10" s="18">
        <f t="shared" si="0"/>
        <v>65156</v>
      </c>
      <c r="P10" s="18">
        <f t="shared" si="2"/>
        <v>6.2158824</v>
      </c>
      <c r="Q10" s="18">
        <f t="shared" si="1"/>
        <v>32.578</v>
      </c>
      <c r="AE10" t="s">
        <v>40</v>
      </c>
      <c r="AG10" t="s">
        <v>40</v>
      </c>
    </row>
    <row r="11" ht="21.75" customHeight="1" spans="1:17">
      <c r="A11" s="22"/>
      <c r="D11" s="5"/>
      <c r="E11" s="5"/>
      <c r="F11" s="5"/>
      <c r="K11" s="22">
        <v>45421</v>
      </c>
      <c r="L11" s="11" t="s">
        <v>40</v>
      </c>
      <c r="M11" s="12">
        <v>23.54</v>
      </c>
      <c r="N11" s="13">
        <v>3900</v>
      </c>
      <c r="O11" s="18">
        <f t="shared" si="0"/>
        <v>91806</v>
      </c>
      <c r="P11" s="18">
        <f t="shared" si="2"/>
        <v>8.7582924</v>
      </c>
      <c r="Q11" s="18">
        <f t="shared" si="1"/>
        <v>45.903</v>
      </c>
    </row>
    <row r="12" ht="21.75" customHeight="1" spans="4:17">
      <c r="D12" s="5"/>
      <c r="E12" s="5"/>
      <c r="F12" s="5"/>
      <c r="K12" s="22"/>
      <c r="L12" s="11"/>
      <c r="M12" s="12"/>
      <c r="N12" s="13"/>
      <c r="O12" s="18">
        <f t="shared" si="0"/>
        <v>0</v>
      </c>
      <c r="P12" s="18">
        <f t="shared" si="2"/>
        <v>0</v>
      </c>
      <c r="Q12" s="18">
        <f t="shared" si="1"/>
        <v>0</v>
      </c>
    </row>
    <row r="13" ht="21.75" customHeight="1" spans="4:17">
      <c r="D13" s="5"/>
      <c r="E13" s="5"/>
      <c r="F13" s="5"/>
      <c r="K13" s="22"/>
      <c r="L13" s="11"/>
      <c r="M13" s="12"/>
      <c r="N13" s="13"/>
      <c r="O13" s="18">
        <f t="shared" si="0"/>
        <v>0</v>
      </c>
      <c r="P13" s="18">
        <f t="shared" si="2"/>
        <v>0</v>
      </c>
      <c r="Q13" s="18">
        <f t="shared" si="1"/>
        <v>0</v>
      </c>
    </row>
    <row r="14" ht="21.75" customHeight="1" spans="4:17">
      <c r="D14" s="5"/>
      <c r="E14" s="5"/>
      <c r="F14" s="5"/>
      <c r="K14" s="22"/>
      <c r="L14" s="11"/>
      <c r="M14" s="12"/>
      <c r="N14" s="13"/>
      <c r="O14" s="18">
        <f t="shared" si="0"/>
        <v>0</v>
      </c>
      <c r="P14" s="18">
        <f t="shared" si="2"/>
        <v>0</v>
      </c>
      <c r="Q14" s="18">
        <f t="shared" si="1"/>
        <v>0</v>
      </c>
    </row>
    <row r="15" ht="21.75" customHeight="1" spans="4:17">
      <c r="D15" s="5"/>
      <c r="E15" s="5"/>
      <c r="F15" s="5"/>
      <c r="K15" s="22"/>
      <c r="L15" s="11"/>
      <c r="M15" s="12"/>
      <c r="N15" s="13"/>
      <c r="O15" s="18">
        <f t="shared" si="0"/>
        <v>0</v>
      </c>
      <c r="P15" s="18">
        <f t="shared" si="2"/>
        <v>0</v>
      </c>
      <c r="Q15" s="18">
        <f t="shared" si="1"/>
        <v>0</v>
      </c>
    </row>
    <row r="16" ht="21.75" customHeight="1" spans="4:17">
      <c r="D16" s="5"/>
      <c r="E16" s="5"/>
      <c r="F16" s="5"/>
      <c r="K16" s="22"/>
      <c r="L16" s="11"/>
      <c r="M16" s="12"/>
      <c r="N16" s="13"/>
      <c r="O16" s="18">
        <f t="shared" si="0"/>
        <v>0</v>
      </c>
      <c r="P16" s="18">
        <f t="shared" si="2"/>
        <v>0</v>
      </c>
      <c r="Q16" s="18">
        <f t="shared" si="1"/>
        <v>0</v>
      </c>
    </row>
    <row r="17" ht="21.75" customHeight="1" spans="4:28">
      <c r="D17" s="5"/>
      <c r="E17" s="5"/>
      <c r="F17" s="5"/>
      <c r="K17" s="22"/>
      <c r="L17" s="11"/>
      <c r="M17" s="12"/>
      <c r="N17" s="13"/>
      <c r="O17" s="18">
        <f t="shared" si="0"/>
        <v>0</v>
      </c>
      <c r="P17" s="18">
        <f t="shared" si="2"/>
        <v>0</v>
      </c>
      <c r="Q17" s="18">
        <f t="shared" si="1"/>
        <v>0</v>
      </c>
      <c r="AA17" s="24"/>
      <c r="AB17" s="18"/>
    </row>
    <row r="18" ht="21.75" customHeight="1" spans="4:27">
      <c r="D18" s="5"/>
      <c r="E18" s="5"/>
      <c r="F18" s="5"/>
      <c r="K18" s="22"/>
      <c r="L18" s="11"/>
      <c r="M18" s="12"/>
      <c r="N18" s="13"/>
      <c r="O18" s="18">
        <f t="shared" si="0"/>
        <v>0</v>
      </c>
      <c r="P18" s="18">
        <f t="shared" si="2"/>
        <v>0</v>
      </c>
      <c r="Q18" s="18">
        <f t="shared" si="1"/>
        <v>0</v>
      </c>
      <c r="AA18" s="24"/>
    </row>
    <row r="19" ht="21.75" customHeight="1" spans="4:17">
      <c r="D19" s="5"/>
      <c r="E19" s="5"/>
      <c r="F19" s="5"/>
      <c r="K19" s="22"/>
      <c r="L19" s="11"/>
      <c r="M19" s="12"/>
      <c r="N19" s="13"/>
      <c r="O19" s="18">
        <f t="shared" si="0"/>
        <v>0</v>
      </c>
      <c r="P19" s="18">
        <f t="shared" si="2"/>
        <v>0</v>
      </c>
      <c r="Q19" s="18">
        <f t="shared" si="1"/>
        <v>0</v>
      </c>
    </row>
    <row r="20" ht="21.75" customHeight="1" spans="4:17">
      <c r="D20" s="5"/>
      <c r="E20" s="5"/>
      <c r="F20" s="5"/>
      <c r="K20" s="22"/>
      <c r="L20" s="11"/>
      <c r="M20" s="12"/>
      <c r="N20" s="13"/>
      <c r="O20" s="18">
        <f t="shared" si="0"/>
        <v>0</v>
      </c>
      <c r="P20" s="18">
        <f t="shared" si="2"/>
        <v>0</v>
      </c>
      <c r="Q20" s="18">
        <f t="shared" si="1"/>
        <v>0</v>
      </c>
    </row>
    <row r="21" ht="21.75" customHeight="1" spans="4:17">
      <c r="D21" s="5"/>
      <c r="E21" s="5"/>
      <c r="F21" s="5"/>
      <c r="K21" s="22"/>
      <c r="L21" s="11"/>
      <c r="M21" s="12"/>
      <c r="N21" s="13"/>
      <c r="O21" s="18">
        <f t="shared" si="0"/>
        <v>0</v>
      </c>
      <c r="P21" s="18">
        <f t="shared" si="2"/>
        <v>0</v>
      </c>
      <c r="Q21" s="18">
        <f t="shared" si="1"/>
        <v>0</v>
      </c>
    </row>
    <row r="22" ht="21.75" customHeight="1" spans="4:17">
      <c r="D22" s="5"/>
      <c r="E22" s="5"/>
      <c r="F22" s="5"/>
      <c r="K22" s="22"/>
      <c r="L22" s="11"/>
      <c r="M22" s="12"/>
      <c r="N22" s="13"/>
      <c r="O22" s="18">
        <f t="shared" si="0"/>
        <v>0</v>
      </c>
      <c r="P22" s="18">
        <f t="shared" si="2"/>
        <v>0</v>
      </c>
      <c r="Q22" s="18">
        <f t="shared" si="1"/>
        <v>0</v>
      </c>
    </row>
    <row r="23" ht="21.75" customHeight="1" spans="4:17">
      <c r="D23" s="5"/>
      <c r="E23" s="5"/>
      <c r="F23" s="5"/>
      <c r="K23" s="22"/>
      <c r="L23" s="11"/>
      <c r="M23" s="12"/>
      <c r="N23" s="13"/>
      <c r="O23" s="18">
        <f t="shared" si="0"/>
        <v>0</v>
      </c>
      <c r="P23" s="18">
        <f t="shared" si="2"/>
        <v>0</v>
      </c>
      <c r="Q23" s="18">
        <f t="shared" si="1"/>
        <v>0</v>
      </c>
    </row>
    <row r="24" ht="21.75" customHeight="1" spans="4:17">
      <c r="D24" s="5"/>
      <c r="E24" s="5"/>
      <c r="F24" s="5"/>
      <c r="K24" s="22"/>
      <c r="L24" s="11"/>
      <c r="M24" s="12"/>
      <c r="N24" s="13"/>
      <c r="O24" s="18">
        <f t="shared" si="0"/>
        <v>0</v>
      </c>
      <c r="P24" s="18">
        <f t="shared" si="2"/>
        <v>0</v>
      </c>
      <c r="Q24" s="18">
        <f t="shared" si="1"/>
        <v>0</v>
      </c>
    </row>
    <row r="25" ht="21.75" customHeight="1" spans="4:17">
      <c r="D25" s="5"/>
      <c r="E25" s="5"/>
      <c r="F25" s="5"/>
      <c r="K25" s="22"/>
      <c r="L25" s="11"/>
      <c r="M25" s="12"/>
      <c r="N25" s="13"/>
      <c r="O25" s="18">
        <f t="shared" si="0"/>
        <v>0</v>
      </c>
      <c r="P25" s="18">
        <f t="shared" si="2"/>
        <v>0</v>
      </c>
      <c r="Q25" s="18">
        <f t="shared" si="1"/>
        <v>0</v>
      </c>
    </row>
    <row r="26" ht="21.75" customHeight="1" spans="4:17">
      <c r="D26" s="5"/>
      <c r="E26" s="5"/>
      <c r="F26" s="5"/>
      <c r="K26" s="22"/>
      <c r="L26" s="11"/>
      <c r="M26" s="12"/>
      <c r="N26" s="13"/>
      <c r="O26" s="18">
        <f t="shared" si="0"/>
        <v>0</v>
      </c>
      <c r="P26" s="18">
        <f t="shared" si="2"/>
        <v>0</v>
      </c>
      <c r="Q26" s="18">
        <f t="shared" si="1"/>
        <v>0</v>
      </c>
    </row>
    <row r="27" ht="21.75" customHeight="1" spans="4:17">
      <c r="D27" s="5"/>
      <c r="E27" s="5"/>
      <c r="F27" s="5"/>
      <c r="K27" s="22"/>
      <c r="L27" s="11"/>
      <c r="M27" s="12"/>
      <c r="N27" s="13"/>
      <c r="O27" s="18">
        <f t="shared" si="0"/>
        <v>0</v>
      </c>
      <c r="P27" s="18">
        <f t="shared" si="2"/>
        <v>0</v>
      </c>
      <c r="Q27" s="18">
        <f t="shared" si="1"/>
        <v>0</v>
      </c>
    </row>
    <row r="28" ht="21.75" customHeight="1" spans="4:17">
      <c r="D28" s="5"/>
      <c r="E28" s="5"/>
      <c r="F28" s="5"/>
      <c r="K28" s="22"/>
      <c r="L28" s="11"/>
      <c r="M28" s="12"/>
      <c r="N28" s="13"/>
      <c r="O28" s="18">
        <f t="shared" si="0"/>
        <v>0</v>
      </c>
      <c r="P28" s="18">
        <f t="shared" si="2"/>
        <v>0</v>
      </c>
      <c r="Q28" s="18">
        <f t="shared" si="1"/>
        <v>0</v>
      </c>
    </row>
    <row r="29" ht="21.75" customHeight="1" spans="4:17">
      <c r="D29" s="5"/>
      <c r="E29" s="5"/>
      <c r="F29" s="5"/>
      <c r="K29" s="22"/>
      <c r="L29" s="11"/>
      <c r="M29" s="12"/>
      <c r="N29" s="13"/>
      <c r="O29" s="18">
        <f t="shared" si="0"/>
        <v>0</v>
      </c>
      <c r="P29" s="18">
        <f t="shared" si="2"/>
        <v>0</v>
      </c>
      <c r="Q29" s="18">
        <f t="shared" si="1"/>
        <v>0</v>
      </c>
    </row>
    <row r="30" ht="21.75" customHeight="1" spans="4:17">
      <c r="D30" s="5"/>
      <c r="E30" s="5"/>
      <c r="F30" s="5"/>
      <c r="K30" s="22"/>
      <c r="L30" s="11"/>
      <c r="M30" s="12"/>
      <c r="N30" s="13"/>
      <c r="O30" s="18">
        <f t="shared" si="0"/>
        <v>0</v>
      </c>
      <c r="P30" s="18">
        <f t="shared" si="2"/>
        <v>0</v>
      </c>
      <c r="Q30" s="18">
        <f t="shared" si="1"/>
        <v>0</v>
      </c>
    </row>
    <row r="31" ht="21.75" customHeight="1" spans="4:17">
      <c r="D31" s="5"/>
      <c r="E31" s="5"/>
      <c r="F31" s="5"/>
      <c r="K31" s="22"/>
      <c r="L31" s="11"/>
      <c r="M31" s="12"/>
      <c r="N31" s="13"/>
      <c r="O31" s="18">
        <f t="shared" si="0"/>
        <v>0</v>
      </c>
      <c r="P31" s="18">
        <f t="shared" si="2"/>
        <v>0</v>
      </c>
      <c r="Q31" s="18">
        <f t="shared" si="1"/>
        <v>0</v>
      </c>
    </row>
    <row r="32" ht="21.75" customHeight="1" spans="4:17">
      <c r="D32" s="5"/>
      <c r="E32" s="5"/>
      <c r="F32" s="5"/>
      <c r="K32" s="22"/>
      <c r="L32" s="11"/>
      <c r="M32" s="12"/>
      <c r="N32" s="13"/>
      <c r="O32" s="18">
        <f t="shared" si="0"/>
        <v>0</v>
      </c>
      <c r="P32" s="18">
        <f t="shared" si="2"/>
        <v>0</v>
      </c>
      <c r="Q32" s="18">
        <f t="shared" si="1"/>
        <v>0</v>
      </c>
    </row>
    <row r="33" ht="21.75" customHeight="1" spans="4:17">
      <c r="D33" s="5"/>
      <c r="E33" s="5"/>
      <c r="F33" s="5"/>
      <c r="K33" s="22"/>
      <c r="L33" s="11"/>
      <c r="M33" s="12"/>
      <c r="N33" s="13"/>
      <c r="O33" s="18">
        <f t="shared" si="0"/>
        <v>0</v>
      </c>
      <c r="P33" s="18">
        <f t="shared" si="2"/>
        <v>0</v>
      </c>
      <c r="Q33" s="18">
        <f t="shared" si="1"/>
        <v>0</v>
      </c>
    </row>
    <row r="34" ht="21.75" customHeight="1" spans="4:6">
      <c r="D34" s="5"/>
      <c r="E34" s="5"/>
      <c r="F34" s="5"/>
    </row>
    <row r="35" ht="21.75" customHeight="1" spans="4:6">
      <c r="D35" s="5"/>
      <c r="E35" s="5"/>
      <c r="F35" s="5"/>
    </row>
    <row r="36" ht="21.75" customHeight="1"/>
  </sheetData>
  <mergeCells count="2">
    <mergeCell ref="B1:I1"/>
    <mergeCell ref="B2:I2"/>
  </mergeCells>
  <conditionalFormatting sqref="I4">
    <cfRule type="expression" dxfId="3" priority="2">
      <formula>$I$4&gt;0</formula>
    </cfRule>
    <cfRule type="expression" dxfId="4" priority="1">
      <formula>$I$4&lt;0</formula>
    </cfRule>
  </conditionalFormatting>
  <conditionalFormatting sqref="I7:I33">
    <cfRule type="cellIs" dxfId="3" priority="4" operator="greaterThan">
      <formula>0</formula>
    </cfRule>
    <cfRule type="cellIs" dxfId="4" priority="3" operator="lessThan">
      <formula>0</formula>
    </cfRule>
  </conditionalFormatting>
  <dataValidations count="1">
    <dataValidation type="list" showInputMessage="1" showErrorMessage="1" sqref="L7:L33">
      <formula1>$AG$9:$AG$10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股票和国债</vt:lpstr>
      <vt:lpstr>恒为科技-603496</vt:lpstr>
      <vt:lpstr>银邦股份-300337</vt:lpstr>
      <vt:lpstr>创业五零-159682</vt:lpstr>
      <vt:lpstr>半导体ETF-512480</vt:lpstr>
      <vt:lpstr>中证A500-159338</vt:lpstr>
      <vt:lpstr>山西汾酒-600809</vt:lpstr>
      <vt:lpstr>大中矿业-001203</vt:lpstr>
      <vt:lpstr>新莱应材-300260</vt:lpstr>
      <vt:lpstr>新能源ETF易方达-516090</vt:lpstr>
      <vt:lpstr>沪深300ETF易方达-510310</vt:lpstr>
      <vt:lpstr>赛力斯-601127</vt:lpstr>
      <vt:lpstr>光迅科技-002281</vt:lpstr>
      <vt:lpstr>阳光电源-300274</vt:lpstr>
      <vt:lpstr>天孚通信-300394</vt:lpstr>
      <vt:lpstr>紫光国微-002049</vt:lpstr>
      <vt:lpstr>五粮液-000858</vt:lpstr>
      <vt:lpstr>大华股份-002236</vt:lpstr>
      <vt:lpstr>石英股份-603688</vt:lpstr>
      <vt:lpstr>闻泰科技-600745</vt:lpstr>
      <vt:lpstr>工商银行-601398</vt:lpstr>
      <vt:lpstr>人民网-603000</vt:lpstr>
      <vt:lpstr>工业富联-601138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cp:revision>25</cp:revision>
  <dcterms:created xsi:type="dcterms:W3CDTF">2023-09-04T14:54:00Z</dcterms:created>
  <dcterms:modified xsi:type="dcterms:W3CDTF">2024-10-24T14:15:35Z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