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wang/Desktop/"/>
    </mc:Choice>
  </mc:AlternateContent>
  <xr:revisionPtr revIDLastSave="0" documentId="13_ncr:40009_{2F631645-A4DF-6C45-801D-D90A0CBB8A23}" xr6:coauthVersionLast="46" xr6:coauthVersionMax="46" xr10:uidLastSave="{00000000-0000-0000-0000-000000000000}"/>
  <bookViews>
    <workbookView xWindow="0" yWindow="0" windowWidth="38400" windowHeight="21600" activeTab="3"/>
  </bookViews>
  <sheets>
    <sheet name="miao-stock-tracker" sheetId="1" r:id="rId1"/>
    <sheet name="1" sheetId="3" r:id="rId2"/>
    <sheet name="2" sheetId="6" r:id="rId3"/>
    <sheet name="3" sheetId="7" r:id="rId4"/>
  </sheets>
  <calcPr calcId="191029"/>
  <pivotCaches>
    <pivotCache cacheId="8" r:id="rId5"/>
    <pivotCache cacheId="23" r:id="rId6"/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7" l="1"/>
  <c r="G37" i="7"/>
  <c r="G38" i="7"/>
  <c r="G39" i="7"/>
  <c r="G40" i="7"/>
  <c r="G41" i="7"/>
  <c r="G35" i="7"/>
  <c r="F36" i="7"/>
  <c r="H36" i="7" s="1"/>
  <c r="I36" i="7" s="1"/>
  <c r="F37" i="7"/>
  <c r="H37" i="7" s="1"/>
  <c r="I37" i="7" s="1"/>
  <c r="F38" i="7"/>
  <c r="H38" i="7" s="1"/>
  <c r="I38" i="7" s="1"/>
  <c r="F39" i="7"/>
  <c r="H39" i="7" s="1"/>
  <c r="I39" i="7" s="1"/>
  <c r="F40" i="7"/>
  <c r="H40" i="7" s="1"/>
  <c r="I40" i="7" s="1"/>
  <c r="F41" i="7"/>
  <c r="H41" i="7" s="1"/>
  <c r="I41" i="7" s="1"/>
  <c r="F35" i="7"/>
  <c r="H35" i="7" s="1"/>
  <c r="I35" i="7" s="1"/>
  <c r="I28" i="6"/>
  <c r="I32" i="6"/>
  <c r="I35" i="6"/>
  <c r="I36" i="6"/>
  <c r="F36" i="6"/>
  <c r="F35" i="6"/>
  <c r="F32" i="6"/>
  <c r="F28" i="6"/>
  <c r="I25" i="6"/>
  <c r="F25" i="6"/>
  <c r="H25" i="6"/>
  <c r="D38" i="6"/>
  <c r="D24" i="7"/>
  <c r="D25" i="7"/>
  <c r="F25" i="7" s="1"/>
  <c r="D26" i="7"/>
  <c r="F26" i="7" s="1"/>
  <c r="D27" i="7"/>
  <c r="F27" i="7" s="1"/>
  <c r="D28" i="7"/>
  <c r="D29" i="7"/>
  <c r="F29" i="7" s="1"/>
  <c r="D23" i="7"/>
  <c r="G23" i="7" s="1"/>
  <c r="F28" i="7"/>
  <c r="H32" i="6"/>
  <c r="H35" i="6"/>
  <c r="H36" i="6"/>
  <c r="H27" i="6"/>
  <c r="H28" i="6"/>
  <c r="H29" i="6"/>
  <c r="H30" i="6"/>
  <c r="H31" i="6"/>
  <c r="H33" i="6"/>
  <c r="H34" i="6"/>
  <c r="H26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26" i="6"/>
  <c r="D6" i="7"/>
  <c r="D5" i="7"/>
  <c r="D4" i="7"/>
  <c r="F10" i="6"/>
  <c r="F33" i="6"/>
  <c r="F27" i="6"/>
  <c r="F34" i="6"/>
  <c r="F31" i="6"/>
  <c r="F29" i="6"/>
  <c r="F30" i="6"/>
  <c r="H5" i="6"/>
  <c r="F13" i="6"/>
  <c r="F8" i="6"/>
  <c r="F9" i="6"/>
  <c r="F12" i="6"/>
  <c r="F6" i="6"/>
  <c r="F5" i="6"/>
  <c r="I5" i="6" s="1"/>
  <c r="E10" i="3"/>
  <c r="E14" i="3"/>
  <c r="E9" i="3"/>
  <c r="E13" i="3"/>
  <c r="E11" i="3"/>
  <c r="E7" i="3"/>
  <c r="E6" i="3"/>
  <c r="I26" i="6" l="1"/>
  <c r="I30" i="6"/>
  <c r="I29" i="6"/>
  <c r="I31" i="6"/>
  <c r="I34" i="6"/>
  <c r="I27" i="6"/>
  <c r="I33" i="6"/>
  <c r="E18" i="3"/>
  <c r="F24" i="7"/>
  <c r="F23" i="7"/>
  <c r="F12" i="7"/>
  <c r="F8" i="7"/>
  <c r="F13" i="7"/>
  <c r="F7" i="7"/>
  <c r="F9" i="7"/>
  <c r="F10" i="7"/>
  <c r="F6" i="7"/>
  <c r="F5" i="7"/>
</calcChain>
</file>

<file path=xl/sharedStrings.xml><?xml version="1.0" encoding="utf-8"?>
<sst xmlns="http://schemas.openxmlformats.org/spreadsheetml/2006/main" count="205" uniqueCount="69">
  <si>
    <t>Stock</t>
  </si>
  <si>
    <t>Date</t>
  </si>
  <si>
    <t>Buy (-1), Sell(+1)</t>
  </si>
  <si>
    <t>Price</t>
  </si>
  <si>
    <t>Share</t>
  </si>
  <si>
    <t>COUR</t>
  </si>
  <si>
    <t>BTC</t>
  </si>
  <si>
    <t>DODGE</t>
  </si>
  <si>
    <t>VIG</t>
  </si>
  <si>
    <t>APPL</t>
  </si>
  <si>
    <t>BRK.B</t>
  </si>
  <si>
    <t>BILI</t>
  </si>
  <si>
    <t>GOEX</t>
  </si>
  <si>
    <t>COPX</t>
  </si>
  <si>
    <t>ABBT</t>
  </si>
  <si>
    <t>CVS</t>
  </si>
  <si>
    <t>TSLA</t>
  </si>
  <si>
    <t>Row Labels</t>
  </si>
  <si>
    <t>Grand Total</t>
  </si>
  <si>
    <t>Share-Sign</t>
  </si>
  <si>
    <t>Gains</t>
  </si>
  <si>
    <t>(blank)</t>
  </si>
  <si>
    <t>Sum of Share-Sign</t>
  </si>
  <si>
    <t>Sum of Gains</t>
  </si>
  <si>
    <t>Today Price</t>
  </si>
  <si>
    <t>Total Gain If sell</t>
  </si>
  <si>
    <t>Avg Buy Price</t>
  </si>
  <si>
    <t>Avg Sell Price</t>
  </si>
  <si>
    <t>Buy Gains</t>
  </si>
  <si>
    <t>Sum of Buy Gains</t>
  </si>
  <si>
    <t>Historical Investment</t>
  </si>
  <si>
    <t>return ratio current</t>
  </si>
  <si>
    <t xml:space="preserve">return ratio total </t>
  </si>
  <si>
    <t>Total Gain</t>
  </si>
  <si>
    <t>Remianing Share</t>
  </si>
  <si>
    <t>Invested</t>
  </si>
  <si>
    <t>summary 2: greenlight and redlight stock</t>
  </si>
  <si>
    <t>have yet making any money, return ratio total is 0-5%</t>
  </si>
  <si>
    <t>have yet making any money, return ratio total is 5-10%</t>
  </si>
  <si>
    <t>have yet making any money, return ratio total is 10%+</t>
  </si>
  <si>
    <t>have yet making any money, return ratio total is 20%+</t>
  </si>
  <si>
    <t>return ratio 0+5%</t>
  </si>
  <si>
    <t>return ratio 5-10%</t>
  </si>
  <si>
    <t>return ratio 10%+</t>
  </si>
  <si>
    <t>return ratio 20%+</t>
  </si>
  <si>
    <t>% change</t>
  </si>
  <si>
    <t>Sum of Share</t>
  </si>
  <si>
    <t>Avg Price</t>
  </si>
  <si>
    <t>Remaining Shares</t>
  </si>
  <si>
    <t>Current Gains</t>
  </si>
  <si>
    <t>Total</t>
  </si>
  <si>
    <t>Filter to select stocks</t>
  </si>
  <si>
    <t>Default with two options: (1) All (2) Stocks with Shares &gt; 0</t>
  </si>
  <si>
    <t>My Shares and Gains</t>
  </si>
  <si>
    <t>if still have shared, use I, use H otherwise</t>
  </si>
  <si>
    <t>% Return</t>
  </si>
  <si>
    <t>Total Invested</t>
  </si>
  <si>
    <t>Total Earnings</t>
  </si>
  <si>
    <t>Total Earnings / Total Invested</t>
  </si>
  <si>
    <t>Greenlight vs Redlight</t>
  </si>
  <si>
    <t># Share require to buy to decrease price by 10%</t>
  </si>
  <si>
    <t>Buy Share</t>
  </si>
  <si>
    <t>Remain Share</t>
  </si>
  <si>
    <t>New Avg Price</t>
  </si>
  <si>
    <t>Need to buy Shares</t>
  </si>
  <si>
    <t>Difference</t>
  </si>
  <si>
    <t>Let User Select a Stock and Percent of Adding Shares to Buy</t>
  </si>
  <si>
    <t>Show Price Difference</t>
  </si>
  <si>
    <t>Select A Stock, Show Change in Avg Price and Stock Shares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</si>
</sst>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m/d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169" fontId="18" fillId="0" borderId="0" xfId="0" applyNumberFormat="1" applyFont="1"/>
    <xf numFmtId="2" fontId="18" fillId="0" borderId="0" xfId="0" applyNumberFormat="1" applyFont="1"/>
    <xf numFmtId="0" fontId="19" fillId="0" borderId="0" xfId="0" applyFont="1"/>
    <xf numFmtId="169" fontId="19" fillId="0" borderId="0" xfId="0" applyNumberFormat="1" applyFont="1"/>
    <xf numFmtId="2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3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44" fontId="0" fillId="0" borderId="0" xfId="0" applyNumberFormat="1"/>
    <xf numFmtId="2" fontId="0" fillId="0" borderId="0" xfId="1" applyNumberFormat="1" applyFont="1"/>
    <xf numFmtId="0" fontId="16" fillId="0" borderId="0" xfId="0" applyFont="1"/>
    <xf numFmtId="0" fontId="20" fillId="0" borderId="0" xfId="0" applyFont="1"/>
    <xf numFmtId="9" fontId="0" fillId="0" borderId="0" xfId="0" applyNumberFormat="1"/>
    <xf numFmtId="0" fontId="21" fillId="0" borderId="0" xfId="0" applyFont="1"/>
    <xf numFmtId="9" fontId="21" fillId="0" borderId="0" xfId="3" applyFont="1"/>
    <xf numFmtId="44" fontId="21" fillId="0" borderId="0" xfId="2" applyFont="1"/>
    <xf numFmtId="0" fontId="21" fillId="0" borderId="0" xfId="0" applyFont="1" applyAlignment="1"/>
    <xf numFmtId="0" fontId="22" fillId="0" borderId="0" xfId="0" applyFont="1"/>
    <xf numFmtId="0" fontId="23" fillId="0" borderId="0" xfId="0" applyFont="1"/>
    <xf numFmtId="43" fontId="0" fillId="0" borderId="0" xfId="0" applyNumberFormat="1" applyAlignment="1">
      <alignment horizontal="right"/>
    </xf>
    <xf numFmtId="43" fontId="0" fillId="0" borderId="0" xfId="0" applyNumberFormat="1"/>
    <xf numFmtId="0" fontId="0" fillId="43" borderId="0" xfId="0" applyFill="1"/>
    <xf numFmtId="0" fontId="0" fillId="4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0" fillId="0" borderId="0" xfId="2" applyFont="1" applyBorder="1"/>
    <xf numFmtId="9" fontId="0" fillId="0" borderId="14" xfId="3" applyFont="1" applyBorder="1"/>
    <xf numFmtId="0" fontId="0" fillId="0" borderId="15" xfId="0" applyBorder="1"/>
    <xf numFmtId="44" fontId="0" fillId="0" borderId="16" xfId="2" applyFont="1" applyBorder="1"/>
    <xf numFmtId="9" fontId="0" fillId="0" borderId="17" xfId="3" applyFont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3">
    <dxf>
      <numFmt numFmtId="35" formatCode="_(* #,##0.00_);_(* \(#,##0.00\);_(* &quot;-&quot;??_);_(@_)"/>
    </dxf>
    <dxf>
      <numFmt numFmtId="2" formatCode="0.00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29.674554976853" createdVersion="7" refreshedVersion="7" minRefreshableVersion="3" recordCount="34">
  <cacheSource type="worksheet">
    <worksheetSource ref="A1:G1048576" sheet="miao-stock-tracker"/>
  </cacheSource>
  <cacheFields count="7">
    <cacheField name="Stock" numFmtId="0">
      <sharedItems containsBlank="1" count="13">
        <s v="ABBT"/>
        <s v="APPL"/>
        <s v="BILI"/>
        <s v="BRK.B"/>
        <s v="BTC"/>
        <s v="COPX"/>
        <s v="COUR"/>
        <s v="CVS"/>
        <s v="DODGE"/>
        <s v="GOEX"/>
        <s v="TSLA"/>
        <s v="VIG"/>
        <m/>
      </sharedItems>
    </cacheField>
    <cacheField name="Date" numFmtId="169">
      <sharedItems containsNonDate="0" containsDate="1" containsString="0" containsBlank="1" minDate="2021-03-20T00:00:00" maxDate="2021-05-14T00:00:00" count="19">
        <d v="2021-03-31T00:00:00"/>
        <d v="2021-04-09T00:00:00"/>
        <d v="2021-04-15T00:00:00"/>
        <d v="2021-04-16T00:00:00"/>
        <d v="2021-05-04T00:00:00"/>
        <d v="2021-05-13T00:00:00"/>
        <d v="2021-04-20T00:00:00"/>
        <d v="2021-04-26T00:00:00"/>
        <d v="2021-04-27T00:00:00"/>
        <d v="2021-05-07T00:00:00"/>
        <d v="2021-04-01T00:00:00"/>
        <d v="2021-04-12T00:00:00"/>
        <d v="2021-03-20T00:00:00"/>
        <d v="2021-04-14T00:00:00"/>
        <d v="2021-04-19T00:00:00"/>
        <d v="2021-04-25T00:00:00"/>
        <d v="2021-03-26T00:00:00"/>
        <d v="2021-04-07T00:00:00"/>
        <m/>
      </sharedItems>
    </cacheField>
    <cacheField name="Buy (-1), Sell(+1)" numFmtId="0">
      <sharedItems containsString="0" containsBlank="1" containsNumber="1" containsInteger="1" minValue="-1" maxValue="1"/>
    </cacheField>
    <cacheField name="Price" numFmtId="2">
      <sharedItems containsString="0" containsBlank="1" containsNumber="1" minValue="0.26" maxValue="56219.22"/>
    </cacheField>
    <cacheField name="Share" numFmtId="2">
      <sharedItems containsString="0" containsBlank="1" containsNumber="1" minValue="0.01" maxValue="1315"/>
    </cacheField>
    <cacheField name="Share-Sign" numFmtId="0">
      <sharedItems containsString="0" containsBlank="1" containsNumber="1" minValue="-947" maxValue="1315" count="30">
        <n v="9.6181859999999997"/>
        <n v="8.3729990000000001"/>
        <n v="-0.99118499999999998"/>
        <n v="-17"/>
        <n v="5"/>
        <n v="10"/>
        <n v="-5"/>
        <n v="0.09"/>
        <n v="-0.02"/>
        <n v="-0.01"/>
        <n v="0.56490799999999997"/>
        <n v="21.98"/>
        <n v="20.13"/>
        <n v="19.649999999999999"/>
        <n v="30"/>
        <n v="-20"/>
        <n v="27.43"/>
        <n v="-14.02"/>
        <n v="-13.41"/>
        <n v="1315"/>
        <n v="766"/>
        <n v="-947"/>
        <n v="-941"/>
        <n v="0.73623400000000006"/>
        <n v="12.538"/>
        <n v="-3.136056"/>
        <n v="-9.4019440000000003"/>
        <n v="50"/>
        <n v="-50.644996999999996"/>
        <m/>
      </sharedItems>
    </cacheField>
    <cacheField name="Gains" numFmtId="0">
      <sharedItems containsString="0" containsBlank="1" containsNumber="1" minValue="-7999.9962799999994" maxValue="7832.2487860499996" count="34">
        <n v="-1153.7975925599999"/>
        <n v="-999.98727057000008"/>
        <n v="121.20210179999999"/>
        <n v="2095.7600000000002"/>
        <n v="-639.94999999999993"/>
        <n v="-1046.5"/>
        <n v="-439.95"/>
        <n v="-1387.55"/>
        <n v="1438.8999999999999"/>
        <n v="-5059.7298000000001"/>
        <n v="1071.4848"/>
        <n v="549.64710000000002"/>
        <n v="1093.8324"/>
        <n v="-25.002828079999997"/>
        <n v="-1000.09"/>
        <n v="-1045.3508999999999"/>
        <n v="-999.79200000000003"/>
        <n v="-1382.3999999999999"/>
        <n v="974.4"/>
        <n v="910"/>
        <n v="-2000.1956"/>
        <n v="1045.3312000000001"/>
        <n v="994.3515000000001"/>
        <n v="-499.7"/>
        <n v="-199.16"/>
        <n v="501.91"/>
        <n v="498.73"/>
        <n v="-25.002506640000004"/>
        <n v="-7999.9962799999994"/>
        <n v="2159.9899305599997"/>
        <n v="7283.4979779199994"/>
        <n v="-7606.9999999999991"/>
        <n v="7832.24878604999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329.687052430556" createdVersion="7" refreshedVersion="7" minRefreshableVersion="3" recordCount="34">
  <cacheSource type="worksheet">
    <worksheetSource ref="A1:J1048576" sheet="miao-stock-tracker"/>
  </cacheSource>
  <cacheFields count="10">
    <cacheField name="Stock" numFmtId="0">
      <sharedItems containsBlank="1" count="13">
        <s v="ABBT"/>
        <s v="APPL"/>
        <s v="BILI"/>
        <s v="BRK.B"/>
        <s v="BTC"/>
        <s v="COPX"/>
        <s v="COUR"/>
        <s v="CVS"/>
        <s v="DODGE"/>
        <s v="GOEX"/>
        <s v="TSLA"/>
        <s v="VIG"/>
        <m/>
      </sharedItems>
    </cacheField>
    <cacheField name="Date" numFmtId="169">
      <sharedItems containsNonDate="0" containsDate="1" containsString="0" containsBlank="1" minDate="2021-03-20T00:00:00" maxDate="2021-05-14T00:00:00"/>
    </cacheField>
    <cacheField name="Buy (-1), Sell(+1)" numFmtId="0">
      <sharedItems containsString="0" containsBlank="1" containsNumber="1" containsInteger="1" minValue="-1" maxValue="1"/>
    </cacheField>
    <cacheField name="Price" numFmtId="2">
      <sharedItems containsString="0" containsBlank="1" containsNumber="1" minValue="0.26" maxValue="56219.22"/>
    </cacheField>
    <cacheField name="Share" numFmtId="2">
      <sharedItems containsString="0" containsBlank="1" containsNumber="1" minValue="0.01" maxValue="1315"/>
    </cacheField>
    <cacheField name="Share-Sign" numFmtId="0">
      <sharedItems containsString="0" containsBlank="1" containsNumber="1" minValue="-947" maxValue="1315" count="30">
        <n v="9.6181859999999997"/>
        <n v="8.3729990000000001"/>
        <n v="-0.99118499999999998"/>
        <n v="-17"/>
        <n v="5"/>
        <n v="10"/>
        <n v="-5"/>
        <n v="0.09"/>
        <n v="-0.02"/>
        <n v="-0.01"/>
        <n v="0.56490799999999997"/>
        <n v="21.98"/>
        <n v="20.13"/>
        <n v="19.649999999999999"/>
        <n v="30"/>
        <n v="-20"/>
        <n v="27.43"/>
        <n v="-14.02"/>
        <n v="-13.41"/>
        <n v="1315"/>
        <n v="766"/>
        <n v="-947"/>
        <n v="-941"/>
        <n v="0.73623400000000006"/>
        <n v="12.538"/>
        <n v="-3.136056"/>
        <n v="-9.4019440000000003"/>
        <n v="50"/>
        <n v="-50.644996999999996"/>
        <m/>
      </sharedItems>
    </cacheField>
    <cacheField name="Gains" numFmtId="0">
      <sharedItems containsString="0" containsBlank="1" containsNumber="1" minValue="-7999.9962799999994" maxValue="7832.2487860499996" count="34">
        <n v="-1153.7975925599999"/>
        <n v="-999.98727057000008"/>
        <n v="121.20210179999999"/>
        <n v="2095.7600000000002"/>
        <n v="-639.94999999999993"/>
        <n v="-1046.5"/>
        <n v="-439.95"/>
        <n v="-1387.55"/>
        <n v="1438.8999999999999"/>
        <n v="-5059.7298000000001"/>
        <n v="1071.4848"/>
        <n v="549.64710000000002"/>
        <n v="1093.8324"/>
        <n v="-25.002828079999997"/>
        <n v="-1000.09"/>
        <n v="-1045.3508999999999"/>
        <n v="-999.79200000000003"/>
        <n v="-1382.3999999999999"/>
        <n v="974.4"/>
        <n v="910"/>
        <n v="-2000.1956"/>
        <n v="1045.3312000000001"/>
        <n v="994.3515000000001"/>
        <n v="-499.7"/>
        <n v="-199.16"/>
        <n v="501.91"/>
        <n v="498.73"/>
        <n v="-25.002506640000004"/>
        <n v="-7999.9962799999994"/>
        <n v="2159.9899305599997"/>
        <n v="7283.4979779199994"/>
        <n v="-7606.9999999999991"/>
        <n v="7832.2487860499996"/>
        <m/>
      </sharedItems>
    </cacheField>
    <cacheField name="Avg Buy Price" numFmtId="0">
      <sharedItems containsString="0" containsBlank="1" containsNumber="1" minValue="0" maxValue="56219.22"/>
    </cacheField>
    <cacheField name="Avg Sell Price" numFmtId="0">
      <sharedItems containsString="0" containsBlank="1" containsNumber="1" minValue="0" maxValue="54964.71"/>
    </cacheField>
    <cacheField name="Buy Gains" numFmtId="0">
      <sharedItems containsString="0" containsBlank="1" containsNumber="1" minValue="0" maxValue="7999.9962799999994" count="20">
        <n v="1153.7975925599999"/>
        <n v="999.98727057000008"/>
        <n v="0"/>
        <n v="639.94999999999993"/>
        <n v="1046.5"/>
        <n v="439.95"/>
        <n v="1387.55"/>
        <n v="5059.7298000000001"/>
        <n v="25.002828079999997"/>
        <n v="1000.09"/>
        <n v="1045.3508999999999"/>
        <n v="999.79200000000003"/>
        <n v="1382.3999999999999"/>
        <n v="2000.1956"/>
        <n v="499.7"/>
        <n v="199.16"/>
        <n v="25.002506640000004"/>
        <n v="7999.9962799999994"/>
        <n v="7606.999999999999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4329.751119444445" createdVersion="7" refreshedVersion="7" minRefreshableVersion="3" recordCount="33">
  <cacheSource type="worksheet">
    <worksheetSource ref="A1:J34" sheet="miao-stock-tracker"/>
  </cacheSource>
  <cacheFields count="10">
    <cacheField name="Stock" numFmtId="0">
      <sharedItems count="12">
        <s v="ABBT"/>
        <s v="APPL"/>
        <s v="BILI"/>
        <s v="BRK.B"/>
        <s v="BTC"/>
        <s v="COPX"/>
        <s v="COUR"/>
        <s v="CVS"/>
        <s v="DODGE"/>
        <s v="GOEX"/>
        <s v="TSLA"/>
        <s v="VIG"/>
      </sharedItems>
    </cacheField>
    <cacheField name="Date" numFmtId="169">
      <sharedItems containsSemiMixedTypes="0" containsNonDate="0" containsDate="1" containsString="0" minDate="2021-03-20T00:00:00" maxDate="2021-05-14T00:00:00"/>
    </cacheField>
    <cacheField name="Buy (-1), Sell(+1)" numFmtId="0">
      <sharedItems containsSemiMixedTypes="0" containsString="0" containsNumber="1" containsInteger="1" minValue="-1" maxValue="1" count="2">
        <n v="-1"/>
        <n v="1"/>
      </sharedItems>
    </cacheField>
    <cacheField name="Price" numFmtId="2">
      <sharedItems containsSemiMixedTypes="0" containsString="0" containsNumber="1" minValue="0.26" maxValue="56219.22"/>
    </cacheField>
    <cacheField name="Share" numFmtId="2">
      <sharedItems containsSemiMixedTypes="0" containsString="0" containsNumber="1" minValue="0.01" maxValue="1315" count="28">
        <n v="9.6181859999999997"/>
        <n v="8.3729990000000001"/>
        <n v="0.99118499999999998"/>
        <n v="17"/>
        <n v="5"/>
        <n v="10"/>
        <n v="0.09"/>
        <n v="0.02"/>
        <n v="0.01"/>
        <n v="0.56490799999999997"/>
        <n v="21.98"/>
        <n v="20.13"/>
        <n v="19.649999999999999"/>
        <n v="30"/>
        <n v="20"/>
        <n v="27.43"/>
        <n v="14.02"/>
        <n v="13.41"/>
        <n v="1315"/>
        <n v="766"/>
        <n v="947"/>
        <n v="941"/>
        <n v="0.73623400000000006"/>
        <n v="12.538"/>
        <n v="3.136056"/>
        <n v="9.4019440000000003"/>
        <n v="50"/>
        <n v="50.644996999999996"/>
      </sharedItems>
    </cacheField>
    <cacheField name="Share-Sign" numFmtId="0">
      <sharedItems containsSemiMixedTypes="0" containsString="0" containsNumber="1" minValue="-947" maxValue="1315"/>
    </cacheField>
    <cacheField name="Gains" numFmtId="0">
      <sharedItems containsSemiMixedTypes="0" containsString="0" containsNumber="1" minValue="-7999.9962799999994" maxValue="7832.2487860499996" count="33">
        <n v="-1153.7975925599999"/>
        <n v="-999.98727057000008"/>
        <n v="121.20210179999999"/>
        <n v="2095.7600000000002"/>
        <n v="-639.94999999999993"/>
        <n v="-1046.5"/>
        <n v="-439.95"/>
        <n v="-1387.55"/>
        <n v="1438.8999999999999"/>
        <n v="-5059.7298000000001"/>
        <n v="1071.4848"/>
        <n v="549.64710000000002"/>
        <n v="1093.8324"/>
        <n v="-25.002828079999997"/>
        <n v="-1000.09"/>
        <n v="-1045.3508999999999"/>
        <n v="-999.79200000000003"/>
        <n v="-1382.3999999999999"/>
        <n v="974.4"/>
        <n v="910"/>
        <n v="-2000.1956"/>
        <n v="1045.3312000000001"/>
        <n v="994.3515000000001"/>
        <n v="-499.7"/>
        <n v="-199.16"/>
        <n v="501.91"/>
        <n v="498.73"/>
        <n v="-25.002506640000004"/>
        <n v="-7999.9962799999994"/>
        <n v="2159.9899305599997"/>
        <n v="7283.4979779199994"/>
        <n v="-7606.9999999999991"/>
        <n v="7832.2487860499996"/>
      </sharedItems>
    </cacheField>
    <cacheField name="Avg Buy Price" numFmtId="0">
      <sharedItems containsSemiMixedTypes="0" containsString="0" containsNumber="1" minValue="0" maxValue="56219.22" count="19">
        <n v="119.96"/>
        <n v="119.43"/>
        <n v="0"/>
        <n v="127.99"/>
        <n v="104.65"/>
        <n v="87.99"/>
        <n v="277.51"/>
        <n v="56219.22"/>
        <n v="44.26"/>
        <n v="45.5"/>
        <n v="51.93"/>
        <n v="50.88"/>
        <n v="46.08"/>
        <n v="72.92"/>
        <n v="0.38"/>
        <n v="0.26"/>
        <n v="33.96"/>
        <n v="638.05999999999995"/>
        <n v="152.13999999999999"/>
      </sharedItems>
    </cacheField>
    <cacheField name="Avg Sell Price" numFmtId="0">
      <sharedItems containsSemiMixedTypes="0" containsString="0" containsNumber="1" minValue="0" maxValue="54964.71"/>
    </cacheField>
    <cacheField name="Buy Gains" numFmtId="0">
      <sharedItems containsSemiMixedTypes="0" containsString="0" containsNumber="1" minValue="0" maxValue="7999.99627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-1"/>
    <n v="119.96"/>
    <n v="9.6181859999999997"/>
    <x v="0"/>
    <x v="0"/>
  </r>
  <r>
    <x v="0"/>
    <x v="1"/>
    <n v="-1"/>
    <n v="119.43"/>
    <n v="8.3729990000000001"/>
    <x v="1"/>
    <x v="1"/>
  </r>
  <r>
    <x v="0"/>
    <x v="2"/>
    <n v="1"/>
    <n v="122.28"/>
    <n v="0.99118499999999998"/>
    <x v="2"/>
    <x v="2"/>
  </r>
  <r>
    <x v="0"/>
    <x v="3"/>
    <n v="1"/>
    <n v="123.28"/>
    <n v="17"/>
    <x v="3"/>
    <x v="3"/>
  </r>
  <r>
    <x v="1"/>
    <x v="4"/>
    <n v="-1"/>
    <n v="127.99"/>
    <n v="5"/>
    <x v="4"/>
    <x v="4"/>
  </r>
  <r>
    <x v="2"/>
    <x v="4"/>
    <n v="-1"/>
    <n v="104.65"/>
    <n v="10"/>
    <x v="5"/>
    <x v="5"/>
  </r>
  <r>
    <x v="2"/>
    <x v="5"/>
    <n v="-1"/>
    <n v="87.99"/>
    <n v="5"/>
    <x v="4"/>
    <x v="6"/>
  </r>
  <r>
    <x v="3"/>
    <x v="4"/>
    <n v="-1"/>
    <n v="277.51"/>
    <n v="5"/>
    <x v="4"/>
    <x v="7"/>
  </r>
  <r>
    <x v="3"/>
    <x v="5"/>
    <n v="1"/>
    <n v="287.77999999999997"/>
    <n v="5"/>
    <x v="6"/>
    <x v="8"/>
  </r>
  <r>
    <x v="4"/>
    <x v="6"/>
    <n v="-1"/>
    <n v="56219.22"/>
    <n v="0.09"/>
    <x v="7"/>
    <x v="9"/>
  </r>
  <r>
    <x v="4"/>
    <x v="7"/>
    <n v="1"/>
    <n v="53574.239999999998"/>
    <n v="0.02"/>
    <x v="8"/>
    <x v="10"/>
  </r>
  <r>
    <x v="4"/>
    <x v="8"/>
    <n v="1"/>
    <n v="54964.71"/>
    <n v="0.01"/>
    <x v="9"/>
    <x v="11"/>
  </r>
  <r>
    <x v="4"/>
    <x v="4"/>
    <n v="1"/>
    <n v="54691.62"/>
    <n v="0.02"/>
    <x v="8"/>
    <x v="12"/>
  </r>
  <r>
    <x v="5"/>
    <x v="9"/>
    <n v="-1"/>
    <n v="44.26"/>
    <n v="0.56490799999999997"/>
    <x v="10"/>
    <x v="13"/>
  </r>
  <r>
    <x v="6"/>
    <x v="10"/>
    <n v="-1"/>
    <n v="45.5"/>
    <n v="21.98"/>
    <x v="11"/>
    <x v="14"/>
  </r>
  <r>
    <x v="6"/>
    <x v="10"/>
    <n v="-1"/>
    <n v="51.93"/>
    <n v="20.13"/>
    <x v="12"/>
    <x v="15"/>
  </r>
  <r>
    <x v="6"/>
    <x v="11"/>
    <n v="-1"/>
    <n v="50.88"/>
    <n v="19.649999999999999"/>
    <x v="13"/>
    <x v="16"/>
  </r>
  <r>
    <x v="6"/>
    <x v="3"/>
    <n v="-1"/>
    <n v="46.08"/>
    <n v="30"/>
    <x v="14"/>
    <x v="17"/>
  </r>
  <r>
    <x v="6"/>
    <x v="7"/>
    <n v="1"/>
    <n v="48.72"/>
    <n v="20"/>
    <x v="15"/>
    <x v="18"/>
  </r>
  <r>
    <x v="6"/>
    <x v="4"/>
    <n v="1"/>
    <n v="45.5"/>
    <n v="20"/>
    <x v="15"/>
    <x v="19"/>
  </r>
  <r>
    <x v="7"/>
    <x v="12"/>
    <n v="-1"/>
    <n v="72.92"/>
    <n v="27.43"/>
    <x v="16"/>
    <x v="20"/>
  </r>
  <r>
    <x v="7"/>
    <x v="10"/>
    <n v="1"/>
    <n v="74.56"/>
    <n v="14.02"/>
    <x v="17"/>
    <x v="21"/>
  </r>
  <r>
    <x v="7"/>
    <x v="13"/>
    <n v="1"/>
    <n v="74.150000000000006"/>
    <n v="13.41"/>
    <x v="18"/>
    <x v="22"/>
  </r>
  <r>
    <x v="8"/>
    <x v="14"/>
    <n v="-1"/>
    <n v="0.38"/>
    <n v="1315"/>
    <x v="19"/>
    <x v="23"/>
  </r>
  <r>
    <x v="8"/>
    <x v="15"/>
    <n v="-1"/>
    <n v="0.26"/>
    <n v="766"/>
    <x v="20"/>
    <x v="24"/>
  </r>
  <r>
    <x v="8"/>
    <x v="4"/>
    <n v="1"/>
    <n v="0.53"/>
    <n v="947"/>
    <x v="21"/>
    <x v="25"/>
  </r>
  <r>
    <x v="8"/>
    <x v="4"/>
    <n v="1"/>
    <n v="0.53"/>
    <n v="941"/>
    <x v="22"/>
    <x v="26"/>
  </r>
  <r>
    <x v="9"/>
    <x v="9"/>
    <n v="-1"/>
    <n v="33.96"/>
    <n v="0.73623400000000006"/>
    <x v="23"/>
    <x v="27"/>
  </r>
  <r>
    <x v="10"/>
    <x v="16"/>
    <n v="-1"/>
    <n v="638.05999999999995"/>
    <n v="12.538"/>
    <x v="24"/>
    <x v="28"/>
  </r>
  <r>
    <x v="10"/>
    <x v="17"/>
    <n v="1"/>
    <n v="688.76"/>
    <n v="3.136056"/>
    <x v="25"/>
    <x v="29"/>
  </r>
  <r>
    <x v="10"/>
    <x v="13"/>
    <n v="1"/>
    <n v="774.68"/>
    <n v="9.4019440000000003"/>
    <x v="26"/>
    <x v="30"/>
  </r>
  <r>
    <x v="11"/>
    <x v="6"/>
    <n v="-1"/>
    <n v="152.13999999999999"/>
    <n v="50"/>
    <x v="27"/>
    <x v="31"/>
  </r>
  <r>
    <x v="11"/>
    <x v="5"/>
    <n v="1"/>
    <n v="154.65"/>
    <n v="50.644996999999996"/>
    <x v="28"/>
    <x v="32"/>
  </r>
  <r>
    <x v="12"/>
    <x v="18"/>
    <m/>
    <m/>
    <m/>
    <x v="29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d v="2021-03-31T00:00:00"/>
    <n v="-1"/>
    <n v="119.96"/>
    <n v="9.6181859999999997"/>
    <x v="0"/>
    <x v="0"/>
    <n v="119.96"/>
    <n v="0"/>
    <x v="0"/>
  </r>
  <r>
    <x v="0"/>
    <d v="2021-04-09T00:00:00"/>
    <n v="-1"/>
    <n v="119.43"/>
    <n v="8.3729990000000001"/>
    <x v="1"/>
    <x v="1"/>
    <n v="119.43"/>
    <n v="0"/>
    <x v="1"/>
  </r>
  <r>
    <x v="0"/>
    <d v="2021-04-15T00:00:00"/>
    <n v="1"/>
    <n v="122.28"/>
    <n v="0.99118499999999998"/>
    <x v="2"/>
    <x v="2"/>
    <n v="0"/>
    <n v="122.28"/>
    <x v="2"/>
  </r>
  <r>
    <x v="0"/>
    <d v="2021-04-16T00:00:00"/>
    <n v="1"/>
    <n v="123.28"/>
    <n v="17"/>
    <x v="3"/>
    <x v="3"/>
    <n v="0"/>
    <n v="123.28"/>
    <x v="2"/>
  </r>
  <r>
    <x v="1"/>
    <d v="2021-05-04T00:00:00"/>
    <n v="-1"/>
    <n v="127.99"/>
    <n v="5"/>
    <x v="4"/>
    <x v="4"/>
    <n v="127.99"/>
    <n v="0"/>
    <x v="3"/>
  </r>
  <r>
    <x v="2"/>
    <d v="2021-05-04T00:00:00"/>
    <n v="-1"/>
    <n v="104.65"/>
    <n v="10"/>
    <x v="5"/>
    <x v="5"/>
    <n v="104.65"/>
    <n v="0"/>
    <x v="4"/>
  </r>
  <r>
    <x v="2"/>
    <d v="2021-05-13T00:00:00"/>
    <n v="-1"/>
    <n v="87.99"/>
    <n v="5"/>
    <x v="4"/>
    <x v="6"/>
    <n v="87.99"/>
    <n v="0"/>
    <x v="5"/>
  </r>
  <r>
    <x v="3"/>
    <d v="2021-05-04T00:00:00"/>
    <n v="-1"/>
    <n v="277.51"/>
    <n v="5"/>
    <x v="4"/>
    <x v="7"/>
    <n v="277.51"/>
    <n v="0"/>
    <x v="6"/>
  </r>
  <r>
    <x v="3"/>
    <d v="2021-05-13T00:00:00"/>
    <n v="1"/>
    <n v="287.77999999999997"/>
    <n v="5"/>
    <x v="6"/>
    <x v="8"/>
    <n v="0"/>
    <n v="287.77999999999997"/>
    <x v="2"/>
  </r>
  <r>
    <x v="4"/>
    <d v="2021-04-20T00:00:00"/>
    <n v="-1"/>
    <n v="56219.22"/>
    <n v="0.09"/>
    <x v="7"/>
    <x v="9"/>
    <n v="56219.22"/>
    <n v="0"/>
    <x v="7"/>
  </r>
  <r>
    <x v="4"/>
    <d v="2021-04-26T00:00:00"/>
    <n v="1"/>
    <n v="53574.239999999998"/>
    <n v="0.02"/>
    <x v="8"/>
    <x v="10"/>
    <n v="0"/>
    <n v="53574.239999999998"/>
    <x v="2"/>
  </r>
  <r>
    <x v="4"/>
    <d v="2021-04-27T00:00:00"/>
    <n v="1"/>
    <n v="54964.71"/>
    <n v="0.01"/>
    <x v="9"/>
    <x v="11"/>
    <n v="0"/>
    <n v="54964.71"/>
    <x v="2"/>
  </r>
  <r>
    <x v="4"/>
    <d v="2021-05-04T00:00:00"/>
    <n v="1"/>
    <n v="54691.62"/>
    <n v="0.02"/>
    <x v="8"/>
    <x v="12"/>
    <n v="0"/>
    <n v="54691.62"/>
    <x v="2"/>
  </r>
  <r>
    <x v="5"/>
    <d v="2021-05-07T00:00:00"/>
    <n v="-1"/>
    <n v="44.26"/>
    <n v="0.56490799999999997"/>
    <x v="10"/>
    <x v="13"/>
    <n v="44.26"/>
    <n v="0"/>
    <x v="8"/>
  </r>
  <r>
    <x v="6"/>
    <d v="2021-04-01T00:00:00"/>
    <n v="-1"/>
    <n v="45.5"/>
    <n v="21.98"/>
    <x v="11"/>
    <x v="14"/>
    <n v="45.5"/>
    <n v="0"/>
    <x v="9"/>
  </r>
  <r>
    <x v="6"/>
    <d v="2021-04-01T00:00:00"/>
    <n v="-1"/>
    <n v="51.93"/>
    <n v="20.13"/>
    <x v="12"/>
    <x v="15"/>
    <n v="51.93"/>
    <n v="0"/>
    <x v="10"/>
  </r>
  <r>
    <x v="6"/>
    <d v="2021-04-12T00:00:00"/>
    <n v="-1"/>
    <n v="50.88"/>
    <n v="19.649999999999999"/>
    <x v="13"/>
    <x v="16"/>
    <n v="50.88"/>
    <n v="0"/>
    <x v="11"/>
  </r>
  <r>
    <x v="6"/>
    <d v="2021-04-16T00:00:00"/>
    <n v="-1"/>
    <n v="46.08"/>
    <n v="30"/>
    <x v="14"/>
    <x v="17"/>
    <n v="46.08"/>
    <n v="0"/>
    <x v="12"/>
  </r>
  <r>
    <x v="6"/>
    <d v="2021-04-26T00:00:00"/>
    <n v="1"/>
    <n v="48.72"/>
    <n v="20"/>
    <x v="15"/>
    <x v="18"/>
    <n v="0"/>
    <n v="48.72"/>
    <x v="2"/>
  </r>
  <r>
    <x v="6"/>
    <d v="2021-05-04T00:00:00"/>
    <n v="1"/>
    <n v="45.5"/>
    <n v="20"/>
    <x v="15"/>
    <x v="19"/>
    <n v="0"/>
    <n v="45.5"/>
    <x v="2"/>
  </r>
  <r>
    <x v="7"/>
    <d v="2021-03-20T00:00:00"/>
    <n v="-1"/>
    <n v="72.92"/>
    <n v="27.43"/>
    <x v="16"/>
    <x v="20"/>
    <n v="72.92"/>
    <n v="0"/>
    <x v="13"/>
  </r>
  <r>
    <x v="7"/>
    <d v="2021-04-01T00:00:00"/>
    <n v="1"/>
    <n v="74.56"/>
    <n v="14.02"/>
    <x v="17"/>
    <x v="21"/>
    <n v="0"/>
    <n v="74.56"/>
    <x v="2"/>
  </r>
  <r>
    <x v="7"/>
    <d v="2021-04-14T00:00:00"/>
    <n v="1"/>
    <n v="74.150000000000006"/>
    <n v="13.41"/>
    <x v="18"/>
    <x v="22"/>
    <n v="0"/>
    <n v="74.150000000000006"/>
    <x v="2"/>
  </r>
  <r>
    <x v="8"/>
    <d v="2021-04-19T00:00:00"/>
    <n v="-1"/>
    <n v="0.38"/>
    <n v="1315"/>
    <x v="19"/>
    <x v="23"/>
    <n v="0.38"/>
    <n v="0"/>
    <x v="14"/>
  </r>
  <r>
    <x v="8"/>
    <d v="2021-04-25T00:00:00"/>
    <n v="-1"/>
    <n v="0.26"/>
    <n v="766"/>
    <x v="20"/>
    <x v="24"/>
    <n v="0.26"/>
    <n v="0"/>
    <x v="15"/>
  </r>
  <r>
    <x v="8"/>
    <d v="2021-05-04T00:00:00"/>
    <n v="1"/>
    <n v="0.53"/>
    <n v="947"/>
    <x v="21"/>
    <x v="25"/>
    <n v="0"/>
    <n v="0.53"/>
    <x v="2"/>
  </r>
  <r>
    <x v="8"/>
    <d v="2021-05-04T00:00:00"/>
    <n v="1"/>
    <n v="0.53"/>
    <n v="941"/>
    <x v="22"/>
    <x v="26"/>
    <n v="0"/>
    <n v="0.53"/>
    <x v="2"/>
  </r>
  <r>
    <x v="9"/>
    <d v="2021-05-07T00:00:00"/>
    <n v="-1"/>
    <n v="33.96"/>
    <n v="0.73623400000000006"/>
    <x v="23"/>
    <x v="27"/>
    <n v="33.96"/>
    <n v="0"/>
    <x v="16"/>
  </r>
  <r>
    <x v="10"/>
    <d v="2021-03-26T00:00:00"/>
    <n v="-1"/>
    <n v="638.05999999999995"/>
    <n v="12.538"/>
    <x v="24"/>
    <x v="28"/>
    <n v="638.05999999999995"/>
    <n v="0"/>
    <x v="17"/>
  </r>
  <r>
    <x v="10"/>
    <d v="2021-04-07T00:00:00"/>
    <n v="1"/>
    <n v="688.76"/>
    <n v="3.136056"/>
    <x v="25"/>
    <x v="29"/>
    <n v="0"/>
    <n v="688.76"/>
    <x v="2"/>
  </r>
  <r>
    <x v="10"/>
    <d v="2021-04-14T00:00:00"/>
    <n v="1"/>
    <n v="774.68"/>
    <n v="9.4019440000000003"/>
    <x v="26"/>
    <x v="30"/>
    <n v="0"/>
    <n v="774.68"/>
    <x v="2"/>
  </r>
  <r>
    <x v="11"/>
    <d v="2021-04-20T00:00:00"/>
    <n v="-1"/>
    <n v="152.13999999999999"/>
    <n v="50"/>
    <x v="27"/>
    <x v="31"/>
    <n v="152.13999999999999"/>
    <n v="0"/>
    <x v="18"/>
  </r>
  <r>
    <x v="11"/>
    <d v="2021-05-13T00:00:00"/>
    <n v="1"/>
    <n v="154.65"/>
    <n v="50.644996999999996"/>
    <x v="28"/>
    <x v="32"/>
    <n v="0"/>
    <n v="154.65"/>
    <x v="2"/>
  </r>
  <r>
    <x v="12"/>
    <m/>
    <m/>
    <m/>
    <m/>
    <x v="29"/>
    <x v="33"/>
    <m/>
    <m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x v="0"/>
    <d v="2021-03-31T00:00:00"/>
    <x v="0"/>
    <n v="119.96"/>
    <x v="0"/>
    <n v="9.6181859999999997"/>
    <x v="0"/>
    <x v="0"/>
    <n v="0"/>
    <n v="1153.7975925599999"/>
  </r>
  <r>
    <x v="0"/>
    <d v="2021-04-09T00:00:00"/>
    <x v="0"/>
    <n v="119.43"/>
    <x v="1"/>
    <n v="8.3729990000000001"/>
    <x v="1"/>
    <x v="1"/>
    <n v="0"/>
    <n v="999.98727057000008"/>
  </r>
  <r>
    <x v="0"/>
    <d v="2021-04-15T00:00:00"/>
    <x v="1"/>
    <n v="122.28"/>
    <x v="2"/>
    <n v="-0.99118499999999998"/>
    <x v="2"/>
    <x v="2"/>
    <n v="122.28"/>
    <n v="0"/>
  </r>
  <r>
    <x v="0"/>
    <d v="2021-04-16T00:00:00"/>
    <x v="1"/>
    <n v="123.28"/>
    <x v="3"/>
    <n v="-17"/>
    <x v="3"/>
    <x v="2"/>
    <n v="123.28"/>
    <n v="0"/>
  </r>
  <r>
    <x v="1"/>
    <d v="2021-05-04T00:00:00"/>
    <x v="0"/>
    <n v="127.99"/>
    <x v="4"/>
    <n v="5"/>
    <x v="4"/>
    <x v="3"/>
    <n v="0"/>
    <n v="639.94999999999993"/>
  </r>
  <r>
    <x v="2"/>
    <d v="2021-05-04T00:00:00"/>
    <x v="0"/>
    <n v="104.65"/>
    <x v="5"/>
    <n v="10"/>
    <x v="5"/>
    <x v="4"/>
    <n v="0"/>
    <n v="1046.5"/>
  </r>
  <r>
    <x v="2"/>
    <d v="2021-05-13T00:00:00"/>
    <x v="0"/>
    <n v="87.99"/>
    <x v="4"/>
    <n v="5"/>
    <x v="6"/>
    <x v="5"/>
    <n v="0"/>
    <n v="439.95"/>
  </r>
  <r>
    <x v="3"/>
    <d v="2021-05-04T00:00:00"/>
    <x v="0"/>
    <n v="277.51"/>
    <x v="4"/>
    <n v="5"/>
    <x v="7"/>
    <x v="6"/>
    <n v="0"/>
    <n v="1387.55"/>
  </r>
  <r>
    <x v="3"/>
    <d v="2021-05-13T00:00:00"/>
    <x v="1"/>
    <n v="287.77999999999997"/>
    <x v="4"/>
    <n v="-5"/>
    <x v="8"/>
    <x v="2"/>
    <n v="287.77999999999997"/>
    <n v="0"/>
  </r>
  <r>
    <x v="4"/>
    <d v="2021-04-20T00:00:00"/>
    <x v="0"/>
    <n v="56219.22"/>
    <x v="6"/>
    <n v="0.09"/>
    <x v="9"/>
    <x v="7"/>
    <n v="0"/>
    <n v="5059.7298000000001"/>
  </r>
  <r>
    <x v="4"/>
    <d v="2021-04-26T00:00:00"/>
    <x v="1"/>
    <n v="53574.239999999998"/>
    <x v="7"/>
    <n v="-0.02"/>
    <x v="10"/>
    <x v="2"/>
    <n v="53574.239999999998"/>
    <n v="0"/>
  </r>
  <r>
    <x v="4"/>
    <d v="2021-04-27T00:00:00"/>
    <x v="1"/>
    <n v="54964.71"/>
    <x v="8"/>
    <n v="-0.01"/>
    <x v="11"/>
    <x v="2"/>
    <n v="54964.71"/>
    <n v="0"/>
  </r>
  <r>
    <x v="4"/>
    <d v="2021-05-04T00:00:00"/>
    <x v="1"/>
    <n v="54691.62"/>
    <x v="7"/>
    <n v="-0.02"/>
    <x v="12"/>
    <x v="2"/>
    <n v="54691.62"/>
    <n v="0"/>
  </r>
  <r>
    <x v="5"/>
    <d v="2021-05-07T00:00:00"/>
    <x v="0"/>
    <n v="44.26"/>
    <x v="9"/>
    <n v="0.56490799999999997"/>
    <x v="13"/>
    <x v="8"/>
    <n v="0"/>
    <n v="25.002828079999997"/>
  </r>
  <r>
    <x v="6"/>
    <d v="2021-04-01T00:00:00"/>
    <x v="0"/>
    <n v="45.5"/>
    <x v="10"/>
    <n v="21.98"/>
    <x v="14"/>
    <x v="9"/>
    <n v="0"/>
    <n v="1000.09"/>
  </r>
  <r>
    <x v="6"/>
    <d v="2021-04-01T00:00:00"/>
    <x v="0"/>
    <n v="51.93"/>
    <x v="11"/>
    <n v="20.13"/>
    <x v="15"/>
    <x v="10"/>
    <n v="0"/>
    <n v="1045.3508999999999"/>
  </r>
  <r>
    <x v="6"/>
    <d v="2021-04-12T00:00:00"/>
    <x v="0"/>
    <n v="50.88"/>
    <x v="12"/>
    <n v="19.649999999999999"/>
    <x v="16"/>
    <x v="11"/>
    <n v="0"/>
    <n v="999.79200000000003"/>
  </r>
  <r>
    <x v="6"/>
    <d v="2021-04-16T00:00:00"/>
    <x v="0"/>
    <n v="46.08"/>
    <x v="13"/>
    <n v="30"/>
    <x v="17"/>
    <x v="12"/>
    <n v="0"/>
    <n v="1382.3999999999999"/>
  </r>
  <r>
    <x v="6"/>
    <d v="2021-04-26T00:00:00"/>
    <x v="1"/>
    <n v="48.72"/>
    <x v="14"/>
    <n v="-20"/>
    <x v="18"/>
    <x v="2"/>
    <n v="48.72"/>
    <n v="0"/>
  </r>
  <r>
    <x v="6"/>
    <d v="2021-05-04T00:00:00"/>
    <x v="1"/>
    <n v="45.5"/>
    <x v="14"/>
    <n v="-20"/>
    <x v="19"/>
    <x v="2"/>
    <n v="45.5"/>
    <n v="0"/>
  </r>
  <r>
    <x v="7"/>
    <d v="2021-03-20T00:00:00"/>
    <x v="0"/>
    <n v="72.92"/>
    <x v="15"/>
    <n v="27.43"/>
    <x v="20"/>
    <x v="13"/>
    <n v="0"/>
    <n v="2000.1956"/>
  </r>
  <r>
    <x v="7"/>
    <d v="2021-04-01T00:00:00"/>
    <x v="1"/>
    <n v="74.56"/>
    <x v="16"/>
    <n v="-14.02"/>
    <x v="21"/>
    <x v="2"/>
    <n v="74.56"/>
    <n v="0"/>
  </r>
  <r>
    <x v="7"/>
    <d v="2021-04-14T00:00:00"/>
    <x v="1"/>
    <n v="74.150000000000006"/>
    <x v="17"/>
    <n v="-13.41"/>
    <x v="22"/>
    <x v="2"/>
    <n v="74.150000000000006"/>
    <n v="0"/>
  </r>
  <r>
    <x v="8"/>
    <d v="2021-04-19T00:00:00"/>
    <x v="0"/>
    <n v="0.38"/>
    <x v="18"/>
    <n v="1315"/>
    <x v="23"/>
    <x v="14"/>
    <n v="0"/>
    <n v="499.7"/>
  </r>
  <r>
    <x v="8"/>
    <d v="2021-04-25T00:00:00"/>
    <x v="0"/>
    <n v="0.26"/>
    <x v="19"/>
    <n v="766"/>
    <x v="24"/>
    <x v="15"/>
    <n v="0"/>
    <n v="199.16"/>
  </r>
  <r>
    <x v="8"/>
    <d v="2021-05-04T00:00:00"/>
    <x v="1"/>
    <n v="0.53"/>
    <x v="20"/>
    <n v="-947"/>
    <x v="25"/>
    <x v="2"/>
    <n v="0.53"/>
    <n v="0"/>
  </r>
  <r>
    <x v="8"/>
    <d v="2021-05-04T00:00:00"/>
    <x v="1"/>
    <n v="0.53"/>
    <x v="21"/>
    <n v="-941"/>
    <x v="26"/>
    <x v="2"/>
    <n v="0.53"/>
    <n v="0"/>
  </r>
  <r>
    <x v="9"/>
    <d v="2021-05-07T00:00:00"/>
    <x v="0"/>
    <n v="33.96"/>
    <x v="22"/>
    <n v="0.73623400000000006"/>
    <x v="27"/>
    <x v="16"/>
    <n v="0"/>
    <n v="25.002506640000004"/>
  </r>
  <r>
    <x v="10"/>
    <d v="2021-03-26T00:00:00"/>
    <x v="0"/>
    <n v="638.05999999999995"/>
    <x v="23"/>
    <n v="12.538"/>
    <x v="28"/>
    <x v="17"/>
    <n v="0"/>
    <n v="7999.9962799999994"/>
  </r>
  <r>
    <x v="10"/>
    <d v="2021-04-07T00:00:00"/>
    <x v="1"/>
    <n v="688.76"/>
    <x v="24"/>
    <n v="-3.136056"/>
    <x v="29"/>
    <x v="2"/>
    <n v="688.76"/>
    <n v="0"/>
  </r>
  <r>
    <x v="10"/>
    <d v="2021-04-14T00:00:00"/>
    <x v="1"/>
    <n v="774.68"/>
    <x v="25"/>
    <n v="-9.4019440000000003"/>
    <x v="30"/>
    <x v="2"/>
    <n v="774.68"/>
    <n v="0"/>
  </r>
  <r>
    <x v="11"/>
    <d v="2021-04-20T00:00:00"/>
    <x v="0"/>
    <n v="152.13999999999999"/>
    <x v="26"/>
    <n v="50"/>
    <x v="31"/>
    <x v="18"/>
    <n v="0"/>
    <n v="7606.9999999999991"/>
  </r>
  <r>
    <x v="11"/>
    <d v="2021-05-13T00:00:00"/>
    <x v="1"/>
    <n v="154.65"/>
    <x v="27"/>
    <n v="-50.644996999999996"/>
    <x v="32"/>
    <x v="2"/>
    <n v="154.6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8" firstHeaderRow="0" firstDataRow="1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20">
        <item x="12"/>
        <item x="16"/>
        <item x="0"/>
        <item x="10"/>
        <item x="17"/>
        <item x="1"/>
        <item x="11"/>
        <item x="13"/>
        <item x="2"/>
        <item x="3"/>
        <item x="14"/>
        <item x="6"/>
        <item x="15"/>
        <item x="7"/>
        <item x="8"/>
        <item x="4"/>
        <item x="9"/>
        <item x="5"/>
        <item x="18"/>
        <item t="default"/>
      </items>
    </pivotField>
    <pivotField showAll="0"/>
    <pivotField showAll="0"/>
    <pivotField showAll="0"/>
    <pivotField dataField="1" showAll="0">
      <items count="31">
        <item x="21"/>
        <item x="22"/>
        <item x="28"/>
        <item x="15"/>
        <item x="3"/>
        <item x="17"/>
        <item x="18"/>
        <item x="26"/>
        <item x="6"/>
        <item x="25"/>
        <item x="2"/>
        <item x="8"/>
        <item x="9"/>
        <item x="7"/>
        <item x="10"/>
        <item x="23"/>
        <item x="4"/>
        <item x="1"/>
        <item x="0"/>
        <item x="5"/>
        <item x="24"/>
        <item x="13"/>
        <item x="12"/>
        <item x="11"/>
        <item x="16"/>
        <item x="14"/>
        <item x="27"/>
        <item x="20"/>
        <item x="19"/>
        <item x="29"/>
        <item t="default"/>
      </items>
    </pivotField>
    <pivotField dataField="1" showAll="0">
      <items count="35">
        <item x="28"/>
        <item x="31"/>
        <item x="9"/>
        <item x="20"/>
        <item x="7"/>
        <item x="17"/>
        <item x="0"/>
        <item x="5"/>
        <item x="15"/>
        <item x="14"/>
        <item x="1"/>
        <item x="16"/>
        <item x="4"/>
        <item x="23"/>
        <item x="6"/>
        <item x="24"/>
        <item x="13"/>
        <item x="27"/>
        <item x="2"/>
        <item x="26"/>
        <item x="25"/>
        <item x="11"/>
        <item x="19"/>
        <item x="18"/>
        <item x="22"/>
        <item x="21"/>
        <item x="10"/>
        <item x="12"/>
        <item x="8"/>
        <item x="3"/>
        <item x="29"/>
        <item x="30"/>
        <item x="32"/>
        <item x="3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are-Sign" fld="5" baseField="0" baseItem="0"/>
    <dataField name="Sum of Gains" fld="6" baseField="0" baseItem="0"/>
  </dataFields>
  <formats count="3">
    <format dxfId="1">
      <pivotArea collapsedLevelsAreSubtotals="1" fieldPosition="0">
        <references count="2">
          <reference field="4294967294" count="1" selected="0">
            <x v="1"/>
          </reference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7" firstHeaderRow="0" firstDataRow="1" firstDataCol="1"/>
  <pivotFields count="10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>
      <items count="31">
        <item x="21"/>
        <item x="22"/>
        <item x="28"/>
        <item x="15"/>
        <item x="3"/>
        <item x="17"/>
        <item x="18"/>
        <item x="26"/>
        <item x="6"/>
        <item x="25"/>
        <item x="2"/>
        <item x="8"/>
        <item x="9"/>
        <item x="7"/>
        <item x="10"/>
        <item x="23"/>
        <item x="4"/>
        <item x="1"/>
        <item x="0"/>
        <item x="5"/>
        <item x="24"/>
        <item x="13"/>
        <item x="12"/>
        <item x="11"/>
        <item x="16"/>
        <item x="14"/>
        <item x="27"/>
        <item x="20"/>
        <item x="19"/>
        <item x="29"/>
        <item t="default"/>
      </items>
    </pivotField>
    <pivotField dataField="1" showAll="0">
      <items count="35">
        <item x="28"/>
        <item x="31"/>
        <item x="9"/>
        <item x="20"/>
        <item x="7"/>
        <item x="17"/>
        <item x="0"/>
        <item x="5"/>
        <item x="15"/>
        <item x="14"/>
        <item x="1"/>
        <item x="16"/>
        <item x="4"/>
        <item x="23"/>
        <item x="6"/>
        <item x="24"/>
        <item x="13"/>
        <item x="27"/>
        <item x="2"/>
        <item x="26"/>
        <item x="25"/>
        <item x="11"/>
        <item x="19"/>
        <item x="18"/>
        <item x="22"/>
        <item x="21"/>
        <item x="10"/>
        <item x="12"/>
        <item x="8"/>
        <item x="3"/>
        <item x="29"/>
        <item x="30"/>
        <item x="32"/>
        <item x="33"/>
        <item t="default"/>
      </items>
    </pivotField>
    <pivotField showAll="0"/>
    <pivotField showAll="0"/>
    <pivotField dataField="1" showAll="0">
      <items count="21">
        <item x="2"/>
        <item x="16"/>
        <item x="8"/>
        <item x="15"/>
        <item x="5"/>
        <item x="14"/>
        <item x="3"/>
        <item x="11"/>
        <item x="1"/>
        <item x="9"/>
        <item x="10"/>
        <item x="4"/>
        <item x="0"/>
        <item x="12"/>
        <item x="6"/>
        <item x="13"/>
        <item x="7"/>
        <item x="18"/>
        <item x="17"/>
        <item x="1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ains" fld="6" baseField="0" baseItem="0"/>
    <dataField name="Sum of Share-Sign" fld="5" baseField="0" baseItem="0"/>
    <dataField name="Sum of Buy Gai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0" firstDataRow="1" firstDataCol="1" rowPageCount="1" colPageCount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9" showAll="0"/>
    <pivotField axis="axisPage" multipleItemSelectionAllowed="1" showAll="0">
      <items count="3">
        <item x="0"/>
        <item h="1" x="1"/>
        <item t="default"/>
      </items>
    </pivotField>
    <pivotField numFmtId="2" showAll="0"/>
    <pivotField dataField="1" numFmtId="2" showAll="0">
      <items count="29">
        <item x="8"/>
        <item x="7"/>
        <item x="6"/>
        <item x="9"/>
        <item x="22"/>
        <item x="2"/>
        <item x="24"/>
        <item x="4"/>
        <item x="1"/>
        <item x="25"/>
        <item x="0"/>
        <item x="5"/>
        <item x="23"/>
        <item x="17"/>
        <item x="16"/>
        <item x="3"/>
        <item x="12"/>
        <item x="14"/>
        <item x="11"/>
        <item x="10"/>
        <item x="15"/>
        <item x="13"/>
        <item x="26"/>
        <item x="27"/>
        <item x="19"/>
        <item x="21"/>
        <item x="20"/>
        <item x="18"/>
        <item t="default"/>
      </items>
    </pivotField>
    <pivotField showAll="0"/>
    <pivotField dataField="1" showAll="0">
      <items count="34">
        <item x="28"/>
        <item x="31"/>
        <item x="9"/>
        <item x="20"/>
        <item x="7"/>
        <item x="17"/>
        <item x="0"/>
        <item x="5"/>
        <item x="15"/>
        <item x="14"/>
        <item x="1"/>
        <item x="16"/>
        <item x="4"/>
        <item x="23"/>
        <item x="6"/>
        <item x="24"/>
        <item x="13"/>
        <item x="27"/>
        <item x="2"/>
        <item x="26"/>
        <item x="25"/>
        <item x="11"/>
        <item x="19"/>
        <item x="18"/>
        <item x="22"/>
        <item x="21"/>
        <item x="10"/>
        <item x="12"/>
        <item x="8"/>
        <item x="3"/>
        <item x="29"/>
        <item x="30"/>
        <item x="32"/>
        <item t="default"/>
      </items>
    </pivotField>
    <pivotField showAll="0">
      <items count="20">
        <item x="2"/>
        <item x="15"/>
        <item x="14"/>
        <item x="16"/>
        <item x="8"/>
        <item x="9"/>
        <item x="12"/>
        <item x="11"/>
        <item x="10"/>
        <item x="13"/>
        <item x="5"/>
        <item x="4"/>
        <item x="1"/>
        <item x="0"/>
        <item x="3"/>
        <item x="18"/>
        <item x="6"/>
        <item x="17"/>
        <item x="7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Gains" fld="6" baseField="0" baseItem="0"/>
    <dataField name="Sum of Sha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37" sqref="F37"/>
    </sheetView>
  </sheetViews>
  <sheetFormatPr baseColWidth="10" defaultRowHeight="19" x14ac:dyDescent="0.25"/>
  <cols>
    <col min="1" max="1" width="8.33203125" style="1" bestFit="1" customWidth="1"/>
    <col min="2" max="2" width="9.83203125" style="2" bestFit="1" customWidth="1"/>
    <col min="3" max="3" width="17" style="1" bestFit="1" customWidth="1"/>
    <col min="4" max="4" width="10" style="3" bestFit="1" customWidth="1"/>
    <col min="5" max="5" width="8.83203125" style="3" bestFit="1" customWidth="1"/>
    <col min="6" max="7" width="10.83203125" style="1"/>
    <col min="8" max="8" width="13.83203125" style="1" bestFit="1" customWidth="1"/>
    <col min="9" max="9" width="13.5" style="1" bestFit="1" customWidth="1"/>
    <col min="10" max="16384" width="10.83203125" style="1"/>
  </cols>
  <sheetData>
    <row r="1" spans="1:10" x14ac:dyDescent="0.25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1" t="s">
        <v>19</v>
      </c>
      <c r="G1" s="1" t="s">
        <v>20</v>
      </c>
      <c r="H1" s="1" t="s">
        <v>26</v>
      </c>
      <c r="I1" s="1" t="s">
        <v>27</v>
      </c>
      <c r="J1" s="1" t="s">
        <v>28</v>
      </c>
    </row>
    <row r="2" spans="1:10" x14ac:dyDescent="0.25">
      <c r="A2" s="1" t="s">
        <v>14</v>
      </c>
      <c r="B2" s="2">
        <v>44286</v>
      </c>
      <c r="C2" s="1">
        <v>-1</v>
      </c>
      <c r="D2" s="3">
        <v>119.96</v>
      </c>
      <c r="E2" s="3">
        <v>9.6181859999999997</v>
      </c>
      <c r="F2" s="1">
        <f>E2*(-1)*C2</f>
        <v>9.6181859999999997</v>
      </c>
      <c r="G2" s="1">
        <f>C2*D2*E2</f>
        <v>-1153.7975925599999</v>
      </c>
      <c r="H2" s="1">
        <f>IF(C2&lt;0, D2, 0)</f>
        <v>119.96</v>
      </c>
      <c r="I2" s="1">
        <f>IF(C2&gt;0, D2, 0)</f>
        <v>0</v>
      </c>
      <c r="J2" s="1">
        <f>H2*E2</f>
        <v>1153.7975925599999</v>
      </c>
    </row>
    <row r="3" spans="1:10" x14ac:dyDescent="0.25">
      <c r="A3" s="1" t="s">
        <v>14</v>
      </c>
      <c r="B3" s="2">
        <v>44295</v>
      </c>
      <c r="C3" s="1">
        <v>-1</v>
      </c>
      <c r="D3" s="3">
        <v>119.43</v>
      </c>
      <c r="E3" s="3">
        <v>8.3729990000000001</v>
      </c>
      <c r="F3" s="1">
        <f t="shared" ref="F3:F34" si="0">E3*(-1)*C3</f>
        <v>8.3729990000000001</v>
      </c>
      <c r="G3" s="1">
        <f t="shared" ref="G3:G34" si="1">C3*D3*E3</f>
        <v>-999.98727057000008</v>
      </c>
      <c r="H3" s="1">
        <f t="shared" ref="H3:H34" si="2">IF(C3&lt;0, D3, 0)</f>
        <v>119.43</v>
      </c>
      <c r="I3" s="1">
        <f t="shared" ref="I3:I34" si="3">IF(C3&gt;0, D3, 0)</f>
        <v>0</v>
      </c>
      <c r="J3" s="1">
        <f t="shared" ref="J3:J34" si="4">H3*E3</f>
        <v>999.98727057000008</v>
      </c>
    </row>
    <row r="4" spans="1:10" x14ac:dyDescent="0.25">
      <c r="A4" s="1" t="s">
        <v>14</v>
      </c>
      <c r="B4" s="2">
        <v>44301</v>
      </c>
      <c r="C4" s="1">
        <v>1</v>
      </c>
      <c r="D4" s="3">
        <v>122.28</v>
      </c>
      <c r="E4" s="3">
        <v>0.99118499999999998</v>
      </c>
      <c r="F4" s="1">
        <f t="shared" si="0"/>
        <v>-0.99118499999999998</v>
      </c>
      <c r="G4" s="1">
        <f t="shared" si="1"/>
        <v>121.20210179999999</v>
      </c>
      <c r="H4" s="1">
        <f t="shared" si="2"/>
        <v>0</v>
      </c>
      <c r="I4" s="1">
        <f t="shared" si="3"/>
        <v>122.28</v>
      </c>
      <c r="J4" s="1">
        <f t="shared" si="4"/>
        <v>0</v>
      </c>
    </row>
    <row r="5" spans="1:10" x14ac:dyDescent="0.25">
      <c r="A5" s="1" t="s">
        <v>14</v>
      </c>
      <c r="B5" s="2">
        <v>44302</v>
      </c>
      <c r="C5" s="1">
        <v>1</v>
      </c>
      <c r="D5" s="3">
        <v>123.28</v>
      </c>
      <c r="E5" s="3">
        <v>17</v>
      </c>
      <c r="F5" s="1">
        <f t="shared" si="0"/>
        <v>-17</v>
      </c>
      <c r="G5" s="1">
        <f t="shared" si="1"/>
        <v>2095.7600000000002</v>
      </c>
      <c r="H5" s="1">
        <f t="shared" si="2"/>
        <v>0</v>
      </c>
      <c r="I5" s="1">
        <f t="shared" si="3"/>
        <v>123.28</v>
      </c>
      <c r="J5" s="1">
        <f t="shared" si="4"/>
        <v>0</v>
      </c>
    </row>
    <row r="6" spans="1:10" x14ac:dyDescent="0.25">
      <c r="A6" s="1" t="s">
        <v>9</v>
      </c>
      <c r="B6" s="2">
        <v>44320</v>
      </c>
      <c r="C6" s="1">
        <v>-1</v>
      </c>
      <c r="D6" s="3">
        <v>127.99</v>
      </c>
      <c r="E6" s="3">
        <v>5</v>
      </c>
      <c r="F6" s="1">
        <f t="shared" si="0"/>
        <v>5</v>
      </c>
      <c r="G6" s="1">
        <f t="shared" si="1"/>
        <v>-639.94999999999993</v>
      </c>
      <c r="H6" s="1">
        <f t="shared" si="2"/>
        <v>127.99</v>
      </c>
      <c r="I6" s="1">
        <f t="shared" si="3"/>
        <v>0</v>
      </c>
      <c r="J6" s="1">
        <f t="shared" si="4"/>
        <v>639.94999999999993</v>
      </c>
    </row>
    <row r="7" spans="1:10" x14ac:dyDescent="0.25">
      <c r="A7" s="1" t="s">
        <v>11</v>
      </c>
      <c r="B7" s="2">
        <v>44320</v>
      </c>
      <c r="C7" s="1">
        <v>-1</v>
      </c>
      <c r="D7" s="3">
        <v>104.65</v>
      </c>
      <c r="E7" s="3">
        <v>10</v>
      </c>
      <c r="F7" s="1">
        <f t="shared" si="0"/>
        <v>10</v>
      </c>
      <c r="G7" s="1">
        <f t="shared" si="1"/>
        <v>-1046.5</v>
      </c>
      <c r="H7" s="1">
        <f t="shared" si="2"/>
        <v>104.65</v>
      </c>
      <c r="I7" s="1">
        <f t="shared" si="3"/>
        <v>0</v>
      </c>
      <c r="J7" s="1">
        <f t="shared" si="4"/>
        <v>1046.5</v>
      </c>
    </row>
    <row r="8" spans="1:10" x14ac:dyDescent="0.25">
      <c r="A8" s="1" t="s">
        <v>11</v>
      </c>
      <c r="B8" s="2">
        <v>44329</v>
      </c>
      <c r="C8" s="1">
        <v>-1</v>
      </c>
      <c r="D8" s="3">
        <v>87.99</v>
      </c>
      <c r="E8" s="3">
        <v>5</v>
      </c>
      <c r="F8" s="1">
        <f t="shared" si="0"/>
        <v>5</v>
      </c>
      <c r="G8" s="1">
        <f t="shared" si="1"/>
        <v>-439.95</v>
      </c>
      <c r="H8" s="1">
        <f t="shared" si="2"/>
        <v>87.99</v>
      </c>
      <c r="I8" s="1">
        <f t="shared" si="3"/>
        <v>0</v>
      </c>
      <c r="J8" s="1">
        <f t="shared" si="4"/>
        <v>439.95</v>
      </c>
    </row>
    <row r="9" spans="1:10" x14ac:dyDescent="0.25">
      <c r="A9" s="1" t="s">
        <v>10</v>
      </c>
      <c r="B9" s="2">
        <v>44320</v>
      </c>
      <c r="C9" s="1">
        <v>-1</v>
      </c>
      <c r="D9" s="3">
        <v>277.51</v>
      </c>
      <c r="E9" s="3">
        <v>5</v>
      </c>
      <c r="F9" s="1">
        <f t="shared" si="0"/>
        <v>5</v>
      </c>
      <c r="G9" s="1">
        <f t="shared" si="1"/>
        <v>-1387.55</v>
      </c>
      <c r="H9" s="1">
        <f t="shared" si="2"/>
        <v>277.51</v>
      </c>
      <c r="I9" s="1">
        <f t="shared" si="3"/>
        <v>0</v>
      </c>
      <c r="J9" s="1">
        <f t="shared" si="4"/>
        <v>1387.55</v>
      </c>
    </row>
    <row r="10" spans="1:10" x14ac:dyDescent="0.25">
      <c r="A10" s="1" t="s">
        <v>10</v>
      </c>
      <c r="B10" s="2">
        <v>44329</v>
      </c>
      <c r="C10" s="1">
        <v>1</v>
      </c>
      <c r="D10" s="3">
        <v>287.77999999999997</v>
      </c>
      <c r="E10" s="3">
        <v>5</v>
      </c>
      <c r="F10" s="1">
        <f t="shared" si="0"/>
        <v>-5</v>
      </c>
      <c r="G10" s="1">
        <f t="shared" si="1"/>
        <v>1438.8999999999999</v>
      </c>
      <c r="H10" s="1">
        <f t="shared" si="2"/>
        <v>0</v>
      </c>
      <c r="I10" s="1">
        <f t="shared" si="3"/>
        <v>287.77999999999997</v>
      </c>
      <c r="J10" s="1">
        <f t="shared" si="4"/>
        <v>0</v>
      </c>
    </row>
    <row r="11" spans="1:10" x14ac:dyDescent="0.25">
      <c r="A11" s="1" t="s">
        <v>6</v>
      </c>
      <c r="B11" s="2">
        <v>44306</v>
      </c>
      <c r="C11" s="1">
        <v>-1</v>
      </c>
      <c r="D11" s="3">
        <v>56219.22</v>
      </c>
      <c r="E11" s="3">
        <v>0.09</v>
      </c>
      <c r="F11" s="1">
        <f t="shared" si="0"/>
        <v>0.09</v>
      </c>
      <c r="G11" s="1">
        <f t="shared" si="1"/>
        <v>-5059.7298000000001</v>
      </c>
      <c r="H11" s="1">
        <f t="shared" si="2"/>
        <v>56219.22</v>
      </c>
      <c r="I11" s="1">
        <f t="shared" si="3"/>
        <v>0</v>
      </c>
      <c r="J11" s="1">
        <f t="shared" si="4"/>
        <v>5059.7298000000001</v>
      </c>
    </row>
    <row r="12" spans="1:10" x14ac:dyDescent="0.25">
      <c r="A12" s="1" t="s">
        <v>6</v>
      </c>
      <c r="B12" s="2">
        <v>44312</v>
      </c>
      <c r="C12" s="1">
        <v>1</v>
      </c>
      <c r="D12" s="3">
        <v>53574.239999999998</v>
      </c>
      <c r="E12" s="3">
        <v>0.02</v>
      </c>
      <c r="F12" s="1">
        <f t="shared" si="0"/>
        <v>-0.02</v>
      </c>
      <c r="G12" s="1">
        <f t="shared" si="1"/>
        <v>1071.4848</v>
      </c>
      <c r="H12" s="1">
        <f t="shared" si="2"/>
        <v>0</v>
      </c>
      <c r="I12" s="1">
        <f t="shared" si="3"/>
        <v>53574.239999999998</v>
      </c>
      <c r="J12" s="1">
        <f t="shared" si="4"/>
        <v>0</v>
      </c>
    </row>
    <row r="13" spans="1:10" x14ac:dyDescent="0.25">
      <c r="A13" s="1" t="s">
        <v>6</v>
      </c>
      <c r="B13" s="2">
        <v>44313</v>
      </c>
      <c r="C13" s="1">
        <v>1</v>
      </c>
      <c r="D13" s="3">
        <v>54964.71</v>
      </c>
      <c r="E13" s="3">
        <v>0.01</v>
      </c>
      <c r="F13" s="1">
        <f t="shared" si="0"/>
        <v>-0.01</v>
      </c>
      <c r="G13" s="1">
        <f t="shared" si="1"/>
        <v>549.64710000000002</v>
      </c>
      <c r="H13" s="1">
        <f t="shared" si="2"/>
        <v>0</v>
      </c>
      <c r="I13" s="1">
        <f t="shared" si="3"/>
        <v>54964.71</v>
      </c>
      <c r="J13" s="1">
        <f t="shared" si="4"/>
        <v>0</v>
      </c>
    </row>
    <row r="14" spans="1:10" x14ac:dyDescent="0.25">
      <c r="A14" s="1" t="s">
        <v>6</v>
      </c>
      <c r="B14" s="2">
        <v>44320</v>
      </c>
      <c r="C14" s="1">
        <v>1</v>
      </c>
      <c r="D14" s="3">
        <v>54691.62</v>
      </c>
      <c r="E14" s="3">
        <v>0.02</v>
      </c>
      <c r="F14" s="1">
        <f t="shared" si="0"/>
        <v>-0.02</v>
      </c>
      <c r="G14" s="1">
        <f t="shared" si="1"/>
        <v>1093.8324</v>
      </c>
      <c r="H14" s="1">
        <f t="shared" si="2"/>
        <v>0</v>
      </c>
      <c r="I14" s="1">
        <f t="shared" si="3"/>
        <v>54691.62</v>
      </c>
      <c r="J14" s="1">
        <f t="shared" si="4"/>
        <v>0</v>
      </c>
    </row>
    <row r="15" spans="1:10" x14ac:dyDescent="0.25">
      <c r="A15" s="1" t="s">
        <v>13</v>
      </c>
      <c r="B15" s="2">
        <v>44323</v>
      </c>
      <c r="C15" s="1">
        <v>-1</v>
      </c>
      <c r="D15" s="3">
        <v>44.26</v>
      </c>
      <c r="E15" s="3">
        <v>0.56490799999999997</v>
      </c>
      <c r="F15" s="1">
        <f t="shared" si="0"/>
        <v>0.56490799999999997</v>
      </c>
      <c r="G15" s="1">
        <f t="shared" si="1"/>
        <v>-25.002828079999997</v>
      </c>
      <c r="H15" s="1">
        <f t="shared" si="2"/>
        <v>44.26</v>
      </c>
      <c r="I15" s="1">
        <f t="shared" si="3"/>
        <v>0</v>
      </c>
      <c r="J15" s="1">
        <f t="shared" si="4"/>
        <v>25.002828079999997</v>
      </c>
    </row>
    <row r="16" spans="1:10" x14ac:dyDescent="0.25">
      <c r="A16" s="1" t="s">
        <v>5</v>
      </c>
      <c r="B16" s="2">
        <v>44287</v>
      </c>
      <c r="C16" s="1">
        <v>-1</v>
      </c>
      <c r="D16" s="3">
        <v>45.5</v>
      </c>
      <c r="E16" s="3">
        <v>21.98</v>
      </c>
      <c r="F16" s="1">
        <f t="shared" si="0"/>
        <v>21.98</v>
      </c>
      <c r="G16" s="1">
        <f t="shared" si="1"/>
        <v>-1000.09</v>
      </c>
      <c r="H16" s="1">
        <f t="shared" si="2"/>
        <v>45.5</v>
      </c>
      <c r="I16" s="1">
        <f t="shared" si="3"/>
        <v>0</v>
      </c>
      <c r="J16" s="1">
        <f t="shared" si="4"/>
        <v>1000.09</v>
      </c>
    </row>
    <row r="17" spans="1:10" x14ac:dyDescent="0.25">
      <c r="A17" s="1" t="s">
        <v>5</v>
      </c>
      <c r="B17" s="2">
        <v>44287</v>
      </c>
      <c r="C17" s="1">
        <v>-1</v>
      </c>
      <c r="D17" s="3">
        <v>51.93</v>
      </c>
      <c r="E17" s="3">
        <v>20.13</v>
      </c>
      <c r="F17" s="1">
        <f t="shared" si="0"/>
        <v>20.13</v>
      </c>
      <c r="G17" s="1">
        <f t="shared" si="1"/>
        <v>-1045.3508999999999</v>
      </c>
      <c r="H17" s="1">
        <f t="shared" si="2"/>
        <v>51.93</v>
      </c>
      <c r="I17" s="1">
        <f t="shared" si="3"/>
        <v>0</v>
      </c>
      <c r="J17" s="1">
        <f t="shared" si="4"/>
        <v>1045.3508999999999</v>
      </c>
    </row>
    <row r="18" spans="1:10" x14ac:dyDescent="0.25">
      <c r="A18" s="1" t="s">
        <v>5</v>
      </c>
      <c r="B18" s="2">
        <v>44298</v>
      </c>
      <c r="C18" s="1">
        <v>-1</v>
      </c>
      <c r="D18" s="3">
        <v>50.88</v>
      </c>
      <c r="E18" s="3">
        <v>19.649999999999999</v>
      </c>
      <c r="F18" s="1">
        <f t="shared" si="0"/>
        <v>19.649999999999999</v>
      </c>
      <c r="G18" s="1">
        <f t="shared" si="1"/>
        <v>-999.79200000000003</v>
      </c>
      <c r="H18" s="1">
        <f t="shared" si="2"/>
        <v>50.88</v>
      </c>
      <c r="I18" s="1">
        <f t="shared" si="3"/>
        <v>0</v>
      </c>
      <c r="J18" s="1">
        <f t="shared" si="4"/>
        <v>999.79200000000003</v>
      </c>
    </row>
    <row r="19" spans="1:10" x14ac:dyDescent="0.25">
      <c r="A19" s="1" t="s">
        <v>5</v>
      </c>
      <c r="B19" s="2">
        <v>44302</v>
      </c>
      <c r="C19" s="1">
        <v>-1</v>
      </c>
      <c r="D19" s="3">
        <v>46.08</v>
      </c>
      <c r="E19" s="3">
        <v>30</v>
      </c>
      <c r="F19" s="1">
        <f t="shared" si="0"/>
        <v>30</v>
      </c>
      <c r="G19" s="1">
        <f t="shared" si="1"/>
        <v>-1382.3999999999999</v>
      </c>
      <c r="H19" s="1">
        <f t="shared" si="2"/>
        <v>46.08</v>
      </c>
      <c r="I19" s="1">
        <f t="shared" si="3"/>
        <v>0</v>
      </c>
      <c r="J19" s="1">
        <f t="shared" si="4"/>
        <v>1382.3999999999999</v>
      </c>
    </row>
    <row r="20" spans="1:10" x14ac:dyDescent="0.25">
      <c r="A20" s="1" t="s">
        <v>5</v>
      </c>
      <c r="B20" s="2">
        <v>44312</v>
      </c>
      <c r="C20" s="1">
        <v>1</v>
      </c>
      <c r="D20" s="3">
        <v>48.72</v>
      </c>
      <c r="E20" s="3">
        <v>20</v>
      </c>
      <c r="F20" s="1">
        <f t="shared" si="0"/>
        <v>-20</v>
      </c>
      <c r="G20" s="1">
        <f t="shared" si="1"/>
        <v>974.4</v>
      </c>
      <c r="H20" s="1">
        <f t="shared" si="2"/>
        <v>0</v>
      </c>
      <c r="I20" s="1">
        <f t="shared" si="3"/>
        <v>48.72</v>
      </c>
      <c r="J20" s="1">
        <f t="shared" si="4"/>
        <v>0</v>
      </c>
    </row>
    <row r="21" spans="1:10" x14ac:dyDescent="0.25">
      <c r="A21" s="1" t="s">
        <v>5</v>
      </c>
      <c r="B21" s="2">
        <v>44320</v>
      </c>
      <c r="C21" s="1">
        <v>1</v>
      </c>
      <c r="D21" s="3">
        <v>45.5</v>
      </c>
      <c r="E21" s="3">
        <v>20</v>
      </c>
      <c r="F21" s="1">
        <f t="shared" si="0"/>
        <v>-20</v>
      </c>
      <c r="G21" s="1">
        <f t="shared" si="1"/>
        <v>910</v>
      </c>
      <c r="H21" s="1">
        <f t="shared" si="2"/>
        <v>0</v>
      </c>
      <c r="I21" s="1">
        <f t="shared" si="3"/>
        <v>45.5</v>
      </c>
      <c r="J21" s="1">
        <f t="shared" si="4"/>
        <v>0</v>
      </c>
    </row>
    <row r="22" spans="1:10" x14ac:dyDescent="0.25">
      <c r="A22" s="1" t="s">
        <v>15</v>
      </c>
      <c r="B22" s="2">
        <v>44275</v>
      </c>
      <c r="C22" s="1">
        <v>-1</v>
      </c>
      <c r="D22" s="3">
        <v>72.92</v>
      </c>
      <c r="E22" s="3">
        <v>27.43</v>
      </c>
      <c r="F22" s="1">
        <f t="shared" si="0"/>
        <v>27.43</v>
      </c>
      <c r="G22" s="1">
        <f t="shared" si="1"/>
        <v>-2000.1956</v>
      </c>
      <c r="H22" s="1">
        <f t="shared" si="2"/>
        <v>72.92</v>
      </c>
      <c r="I22" s="1">
        <f t="shared" si="3"/>
        <v>0</v>
      </c>
      <c r="J22" s="1">
        <f t="shared" si="4"/>
        <v>2000.1956</v>
      </c>
    </row>
    <row r="23" spans="1:10" x14ac:dyDescent="0.25">
      <c r="A23" s="1" t="s">
        <v>15</v>
      </c>
      <c r="B23" s="2">
        <v>44287</v>
      </c>
      <c r="C23" s="1">
        <v>1</v>
      </c>
      <c r="D23" s="3">
        <v>74.56</v>
      </c>
      <c r="E23" s="3">
        <v>14.02</v>
      </c>
      <c r="F23" s="1">
        <f t="shared" si="0"/>
        <v>-14.02</v>
      </c>
      <c r="G23" s="1">
        <f t="shared" si="1"/>
        <v>1045.3312000000001</v>
      </c>
      <c r="H23" s="1">
        <f t="shared" si="2"/>
        <v>0</v>
      </c>
      <c r="I23" s="1">
        <f t="shared" si="3"/>
        <v>74.56</v>
      </c>
      <c r="J23" s="1">
        <f t="shared" si="4"/>
        <v>0</v>
      </c>
    </row>
    <row r="24" spans="1:10" x14ac:dyDescent="0.25">
      <c r="A24" s="1" t="s">
        <v>15</v>
      </c>
      <c r="B24" s="2">
        <v>44300</v>
      </c>
      <c r="C24" s="1">
        <v>1</v>
      </c>
      <c r="D24" s="3">
        <v>74.150000000000006</v>
      </c>
      <c r="E24" s="3">
        <v>13.41</v>
      </c>
      <c r="F24" s="1">
        <f t="shared" si="0"/>
        <v>-13.41</v>
      </c>
      <c r="G24" s="1">
        <f t="shared" si="1"/>
        <v>994.3515000000001</v>
      </c>
      <c r="H24" s="1">
        <f t="shared" si="2"/>
        <v>0</v>
      </c>
      <c r="I24" s="1">
        <f t="shared" si="3"/>
        <v>74.150000000000006</v>
      </c>
      <c r="J24" s="1">
        <f t="shared" si="4"/>
        <v>0</v>
      </c>
    </row>
    <row r="25" spans="1:10" x14ac:dyDescent="0.25">
      <c r="A25" s="1" t="s">
        <v>7</v>
      </c>
      <c r="B25" s="2">
        <v>44305</v>
      </c>
      <c r="C25" s="1">
        <v>-1</v>
      </c>
      <c r="D25" s="3">
        <v>0.38</v>
      </c>
      <c r="E25" s="3">
        <v>1315</v>
      </c>
      <c r="F25" s="1">
        <f t="shared" si="0"/>
        <v>1315</v>
      </c>
      <c r="G25" s="1">
        <f t="shared" si="1"/>
        <v>-499.7</v>
      </c>
      <c r="H25" s="1">
        <f t="shared" si="2"/>
        <v>0.38</v>
      </c>
      <c r="I25" s="1">
        <f t="shared" si="3"/>
        <v>0</v>
      </c>
      <c r="J25" s="1">
        <f t="shared" si="4"/>
        <v>499.7</v>
      </c>
    </row>
    <row r="26" spans="1:10" x14ac:dyDescent="0.25">
      <c r="A26" s="1" t="s">
        <v>7</v>
      </c>
      <c r="B26" s="2">
        <v>44311</v>
      </c>
      <c r="C26" s="1">
        <v>-1</v>
      </c>
      <c r="D26" s="3">
        <v>0.26</v>
      </c>
      <c r="E26" s="3">
        <v>766</v>
      </c>
      <c r="F26" s="1">
        <f t="shared" si="0"/>
        <v>766</v>
      </c>
      <c r="G26" s="1">
        <f t="shared" si="1"/>
        <v>-199.16</v>
      </c>
      <c r="H26" s="1">
        <f t="shared" si="2"/>
        <v>0.26</v>
      </c>
      <c r="I26" s="1">
        <f t="shared" si="3"/>
        <v>0</v>
      </c>
      <c r="J26" s="1">
        <f t="shared" si="4"/>
        <v>199.16</v>
      </c>
    </row>
    <row r="27" spans="1:10" x14ac:dyDescent="0.25">
      <c r="A27" s="1" t="s">
        <v>7</v>
      </c>
      <c r="B27" s="2">
        <v>44320</v>
      </c>
      <c r="C27" s="1">
        <v>1</v>
      </c>
      <c r="D27" s="3">
        <v>0.53</v>
      </c>
      <c r="E27" s="3">
        <v>947</v>
      </c>
      <c r="F27" s="1">
        <f t="shared" si="0"/>
        <v>-947</v>
      </c>
      <c r="G27" s="1">
        <f t="shared" si="1"/>
        <v>501.91</v>
      </c>
      <c r="H27" s="1">
        <f t="shared" si="2"/>
        <v>0</v>
      </c>
      <c r="I27" s="1">
        <f t="shared" si="3"/>
        <v>0.53</v>
      </c>
      <c r="J27" s="1">
        <f t="shared" si="4"/>
        <v>0</v>
      </c>
    </row>
    <row r="28" spans="1:10" x14ac:dyDescent="0.25">
      <c r="A28" s="1" t="s">
        <v>7</v>
      </c>
      <c r="B28" s="2">
        <v>44320</v>
      </c>
      <c r="C28" s="1">
        <v>1</v>
      </c>
      <c r="D28" s="3">
        <v>0.53</v>
      </c>
      <c r="E28" s="3">
        <v>941</v>
      </c>
      <c r="F28" s="1">
        <f t="shared" si="0"/>
        <v>-941</v>
      </c>
      <c r="G28" s="1">
        <f t="shared" si="1"/>
        <v>498.73</v>
      </c>
      <c r="H28" s="1">
        <f t="shared" si="2"/>
        <v>0</v>
      </c>
      <c r="I28" s="1">
        <f t="shared" si="3"/>
        <v>0.53</v>
      </c>
      <c r="J28" s="1">
        <f t="shared" si="4"/>
        <v>0</v>
      </c>
    </row>
    <row r="29" spans="1:10" x14ac:dyDescent="0.25">
      <c r="A29" s="1" t="s">
        <v>12</v>
      </c>
      <c r="B29" s="2">
        <v>44323</v>
      </c>
      <c r="C29" s="1">
        <v>-1</v>
      </c>
      <c r="D29" s="3">
        <v>33.96</v>
      </c>
      <c r="E29" s="3">
        <v>0.73623400000000006</v>
      </c>
      <c r="F29" s="1">
        <f t="shared" si="0"/>
        <v>0.73623400000000006</v>
      </c>
      <c r="G29" s="1">
        <f t="shared" si="1"/>
        <v>-25.002506640000004</v>
      </c>
      <c r="H29" s="1">
        <f t="shared" si="2"/>
        <v>33.96</v>
      </c>
      <c r="I29" s="1">
        <f t="shared" si="3"/>
        <v>0</v>
      </c>
      <c r="J29" s="1">
        <f t="shared" si="4"/>
        <v>25.002506640000004</v>
      </c>
    </row>
    <row r="30" spans="1:10" x14ac:dyDescent="0.25">
      <c r="A30" s="1" t="s">
        <v>16</v>
      </c>
      <c r="B30" s="2">
        <v>44281</v>
      </c>
      <c r="C30" s="1">
        <v>-1</v>
      </c>
      <c r="D30" s="3">
        <v>638.05999999999995</v>
      </c>
      <c r="E30" s="3">
        <v>12.538</v>
      </c>
      <c r="F30" s="1">
        <f t="shared" si="0"/>
        <v>12.538</v>
      </c>
      <c r="G30" s="1">
        <f t="shared" si="1"/>
        <v>-7999.9962799999994</v>
      </c>
      <c r="H30" s="1">
        <f t="shared" si="2"/>
        <v>638.05999999999995</v>
      </c>
      <c r="I30" s="1">
        <f t="shared" si="3"/>
        <v>0</v>
      </c>
      <c r="J30" s="1">
        <f t="shared" si="4"/>
        <v>7999.9962799999994</v>
      </c>
    </row>
    <row r="31" spans="1:10" x14ac:dyDescent="0.25">
      <c r="A31" s="1" t="s">
        <v>16</v>
      </c>
      <c r="B31" s="2">
        <v>44293</v>
      </c>
      <c r="C31" s="1">
        <v>1</v>
      </c>
      <c r="D31" s="3">
        <v>688.76</v>
      </c>
      <c r="E31" s="3">
        <v>3.136056</v>
      </c>
      <c r="F31" s="1">
        <f t="shared" si="0"/>
        <v>-3.136056</v>
      </c>
      <c r="G31" s="1">
        <f t="shared" si="1"/>
        <v>2159.9899305599997</v>
      </c>
      <c r="H31" s="1">
        <f t="shared" si="2"/>
        <v>0</v>
      </c>
      <c r="I31" s="1">
        <f t="shared" si="3"/>
        <v>688.76</v>
      </c>
      <c r="J31" s="1">
        <f t="shared" si="4"/>
        <v>0</v>
      </c>
    </row>
    <row r="32" spans="1:10" x14ac:dyDescent="0.25">
      <c r="A32" s="1" t="s">
        <v>16</v>
      </c>
      <c r="B32" s="2">
        <v>44300</v>
      </c>
      <c r="C32" s="1">
        <v>1</v>
      </c>
      <c r="D32" s="3">
        <v>774.68</v>
      </c>
      <c r="E32" s="3">
        <v>9.4019440000000003</v>
      </c>
      <c r="F32" s="1">
        <f t="shared" si="0"/>
        <v>-9.4019440000000003</v>
      </c>
      <c r="G32" s="1">
        <f t="shared" si="1"/>
        <v>7283.4979779199994</v>
      </c>
      <c r="H32" s="1">
        <f t="shared" si="2"/>
        <v>0</v>
      </c>
      <c r="I32" s="1">
        <f t="shared" si="3"/>
        <v>774.68</v>
      </c>
      <c r="J32" s="1">
        <f t="shared" si="4"/>
        <v>0</v>
      </c>
    </row>
    <row r="33" spans="1:10" x14ac:dyDescent="0.25">
      <c r="A33" s="1" t="s">
        <v>8</v>
      </c>
      <c r="B33" s="2">
        <v>44306</v>
      </c>
      <c r="C33" s="1">
        <v>-1</v>
      </c>
      <c r="D33" s="3">
        <v>152.13999999999999</v>
      </c>
      <c r="E33" s="3">
        <v>50</v>
      </c>
      <c r="F33" s="1">
        <f t="shared" si="0"/>
        <v>50</v>
      </c>
      <c r="G33" s="1">
        <f t="shared" si="1"/>
        <v>-7606.9999999999991</v>
      </c>
      <c r="H33" s="1">
        <f t="shared" si="2"/>
        <v>152.13999999999999</v>
      </c>
      <c r="I33" s="1">
        <f t="shared" si="3"/>
        <v>0</v>
      </c>
      <c r="J33" s="1">
        <f t="shared" si="4"/>
        <v>7606.9999999999991</v>
      </c>
    </row>
    <row r="34" spans="1:10" x14ac:dyDescent="0.25">
      <c r="A34" s="1" t="s">
        <v>8</v>
      </c>
      <c r="B34" s="2">
        <v>44329</v>
      </c>
      <c r="C34" s="1">
        <v>1</v>
      </c>
      <c r="D34" s="3">
        <v>154.65</v>
      </c>
      <c r="E34" s="3">
        <v>50.644996999999996</v>
      </c>
      <c r="F34" s="1">
        <f t="shared" si="0"/>
        <v>-50.644996999999996</v>
      </c>
      <c r="G34" s="1">
        <f t="shared" si="1"/>
        <v>7832.2487860499996</v>
      </c>
      <c r="H34" s="1">
        <f t="shared" si="2"/>
        <v>0</v>
      </c>
      <c r="I34" s="1">
        <f t="shared" si="3"/>
        <v>154.65</v>
      </c>
      <c r="J34" s="1">
        <f t="shared" si="4"/>
        <v>0</v>
      </c>
    </row>
  </sheetData>
  <sortState xmlns:xlrd2="http://schemas.microsoft.com/office/spreadsheetml/2017/richdata2" ref="A2:E34">
    <sortCondition ref="A2:A34"/>
    <sortCondition ref="B2:B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210" zoomScaleNormal="210" workbookViewId="0">
      <selection activeCell="D21" sqref="D21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14.5" bestFit="1" customWidth="1"/>
    <col min="4" max="4" width="11.5" bestFit="1" customWidth="1"/>
    <col min="5" max="5" width="14.6640625" bestFit="1" customWidth="1"/>
  </cols>
  <sheetData>
    <row r="1" spans="1:7" x14ac:dyDescent="0.2">
      <c r="A1" t="s">
        <v>53</v>
      </c>
    </row>
    <row r="3" spans="1:7" x14ac:dyDescent="0.2">
      <c r="B3" s="24" t="s">
        <v>48</v>
      </c>
      <c r="C3" s="24" t="s">
        <v>49</v>
      </c>
      <c r="D3" s="24" t="s">
        <v>24</v>
      </c>
      <c r="E3" s="24" t="s">
        <v>25</v>
      </c>
      <c r="G3" s="24" t="s">
        <v>51</v>
      </c>
    </row>
    <row r="4" spans="1:7" x14ac:dyDescent="0.2">
      <c r="A4" s="8" t="s">
        <v>17</v>
      </c>
      <c r="B4" t="s">
        <v>22</v>
      </c>
      <c r="C4" t="s">
        <v>23</v>
      </c>
      <c r="G4" t="s">
        <v>52</v>
      </c>
    </row>
    <row r="5" spans="1:7" x14ac:dyDescent="0.2">
      <c r="A5" s="9" t="s">
        <v>14</v>
      </c>
      <c r="B5" s="7">
        <v>0</v>
      </c>
      <c r="C5" s="32">
        <v>63.177238670000406</v>
      </c>
    </row>
    <row r="6" spans="1:7" x14ac:dyDescent="0.2">
      <c r="A6" s="9" t="s">
        <v>9</v>
      </c>
      <c r="B6" s="7">
        <v>5</v>
      </c>
      <c r="C6" s="32">
        <v>-639.94999999999993</v>
      </c>
      <c r="D6" s="22">
        <v>125.6</v>
      </c>
      <c r="E6" s="22">
        <f>GETPIVOTDATA("Sum of Gains",$A$4,"Stock","APPL")+D6*GETPIVOTDATA("Sum of Share-Sign",$A$4,"Stock","APPL")</f>
        <v>-11.949999999999932</v>
      </c>
    </row>
    <row r="7" spans="1:7" x14ac:dyDescent="0.2">
      <c r="A7" s="9" t="s">
        <v>11</v>
      </c>
      <c r="B7" s="7">
        <v>15</v>
      </c>
      <c r="C7" s="32">
        <v>-1486.45</v>
      </c>
      <c r="D7" s="22">
        <v>87.11</v>
      </c>
      <c r="E7" s="22">
        <f>D7*GETPIVOTDATA("Sum of Share-Sign",$A$4,"Stock","BILI")+GETPIVOTDATA("Sum of Gains",$A$4,"Stock","BILI")</f>
        <v>-179.79999999999995</v>
      </c>
    </row>
    <row r="8" spans="1:7" x14ac:dyDescent="0.2">
      <c r="A8" s="9" t="s">
        <v>10</v>
      </c>
      <c r="B8" s="7">
        <v>0</v>
      </c>
      <c r="C8" s="32">
        <v>51.349999999999909</v>
      </c>
      <c r="D8" s="22"/>
      <c r="E8" s="22"/>
    </row>
    <row r="9" spans="1:7" x14ac:dyDescent="0.2">
      <c r="A9" s="9" t="s">
        <v>6</v>
      </c>
      <c r="B9" s="7">
        <v>3.9999999999999994E-2</v>
      </c>
      <c r="C9" s="32">
        <v>-2344.7654999999995</v>
      </c>
      <c r="D9" s="22">
        <v>49000</v>
      </c>
      <c r="E9" s="22">
        <f>D9*GETPIVOTDATA("Sum of Share-Sign",$A$4,"Stock","BTC")+GETPIVOTDATA("Sum of Gains",$A$4,"Stock","BTC")</f>
        <v>-384.76549999999975</v>
      </c>
    </row>
    <row r="10" spans="1:7" x14ac:dyDescent="0.2">
      <c r="A10" s="9" t="s">
        <v>13</v>
      </c>
      <c r="B10" s="7">
        <v>0.56490799999999997</v>
      </c>
      <c r="C10" s="32">
        <v>-25.002828079999997</v>
      </c>
      <c r="D10" s="22">
        <v>41.8</v>
      </c>
      <c r="E10" s="22">
        <f>D10*GETPIVOTDATA("Sum of Share-Sign",$A$4,"Stock","COPX")+GETPIVOTDATA("Sum of Gains",$A$4,"Stock","COPX")</f>
        <v>-1.3896736800000014</v>
      </c>
    </row>
    <row r="11" spans="1:7" x14ac:dyDescent="0.2">
      <c r="A11" s="9" t="s">
        <v>5</v>
      </c>
      <c r="B11" s="7">
        <v>51.759999999999991</v>
      </c>
      <c r="C11" s="32">
        <v>-2543.2328999999995</v>
      </c>
      <c r="D11" s="22">
        <v>34.11</v>
      </c>
      <c r="E11" s="22">
        <f>D11*GETPIVOTDATA("Sum of Share-Sign",$A$4,"Stock","COUR")+GETPIVOTDATA("Sum of Gains",$A$4,"Stock","COUR")</f>
        <v>-777.69929999999977</v>
      </c>
    </row>
    <row r="12" spans="1:7" x14ac:dyDescent="0.2">
      <c r="A12" s="9" t="s">
        <v>15</v>
      </c>
      <c r="B12" s="7">
        <v>0</v>
      </c>
      <c r="C12" s="32">
        <v>39.487100000000169</v>
      </c>
      <c r="D12" s="22"/>
      <c r="E12" s="22"/>
    </row>
    <row r="13" spans="1:7" x14ac:dyDescent="0.2">
      <c r="A13" s="9" t="s">
        <v>7</v>
      </c>
      <c r="B13" s="7">
        <v>193</v>
      </c>
      <c r="C13" s="32">
        <v>301.78000000000003</v>
      </c>
      <c r="D13" s="22">
        <v>0.39</v>
      </c>
      <c r="E13" s="22">
        <f>GETPIVOTDATA("Sum of Share-Sign",$A$4,"Stock","DODGE")*D13+GETPIVOTDATA("Sum of Gains",$A$4,"Stock","DODGE")</f>
        <v>377.05</v>
      </c>
    </row>
    <row r="14" spans="1:7" x14ac:dyDescent="0.2">
      <c r="A14" s="9" t="s">
        <v>12</v>
      </c>
      <c r="B14" s="7">
        <v>0.73623400000000006</v>
      </c>
      <c r="C14" s="32">
        <v>-25.002506640000004</v>
      </c>
      <c r="D14" s="22">
        <v>32.72</v>
      </c>
      <c r="E14" s="22">
        <f>GETPIVOTDATA("Sum of Share-Sign",$A$4,"Stock","GOEX")*D14+GETPIVOTDATA("Sum of Gains",$A$4,"Stock","GOEX")</f>
        <v>-0.91293016000000193</v>
      </c>
    </row>
    <row r="15" spans="1:7" x14ac:dyDescent="0.2">
      <c r="A15" s="9" t="s">
        <v>16</v>
      </c>
      <c r="B15" s="7">
        <v>0</v>
      </c>
      <c r="C15" s="32">
        <v>1443.4916284799992</v>
      </c>
      <c r="D15" s="22"/>
      <c r="E15" s="22"/>
    </row>
    <row r="16" spans="1:7" x14ac:dyDescent="0.2">
      <c r="A16" s="9" t="s">
        <v>8</v>
      </c>
      <c r="B16" s="7">
        <v>-0.64499699999999649</v>
      </c>
      <c r="C16" s="32">
        <v>225.24878605000049</v>
      </c>
      <c r="D16" s="22"/>
      <c r="E16" s="22"/>
    </row>
    <row r="17" spans="1:5" x14ac:dyDescent="0.2">
      <c r="A17" s="9" t="s">
        <v>21</v>
      </c>
      <c r="B17" s="7"/>
      <c r="C17" s="33"/>
      <c r="D17" s="22"/>
      <c r="E17" s="22"/>
    </row>
    <row r="18" spans="1:5" x14ac:dyDescent="0.2">
      <c r="A18" s="9" t="s">
        <v>18</v>
      </c>
      <c r="B18" s="7">
        <v>265.45614500000005</v>
      </c>
      <c r="C18" s="7">
        <v>-4939.8689815199987</v>
      </c>
      <c r="E18" s="23">
        <f>SUM(E6:E14)</f>
        <v>-979.46740383999952</v>
      </c>
    </row>
  </sheetData>
  <conditionalFormatting pivot="1" sqref="C5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{38627F40-8CE8-104B-9DC2-80DD7938B9AF}</x14:id>
        </ext>
      </extLst>
    </cfRule>
  </conditionalFormatting>
  <conditionalFormatting sqref="E5:E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{58B8F2CD-8A88-E546-9633-E98E2063C501}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8627F40-8CE8-104B-9DC2-80DD7938B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C5:C16</xm:sqref>
        </x14:conditionalFormatting>
        <x14:conditionalFormatting xmlns:xm="http://schemas.microsoft.com/office/excel/2006/main">
          <x14:cfRule type="dataBar" id="{58B8F2CD-8A88-E546-9633-E98E206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opLeftCell="A34" zoomScale="140" zoomScaleNormal="140" workbookViewId="0">
      <selection activeCell="D60" sqref="D60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22.83203125" bestFit="1" customWidth="1"/>
    <col min="4" max="4" width="15.83203125" bestFit="1" customWidth="1"/>
    <col min="6" max="6" width="14.6640625" bestFit="1" customWidth="1"/>
    <col min="8" max="8" width="18" customWidth="1"/>
    <col min="9" max="9" width="15.33203125" bestFit="1" customWidth="1"/>
  </cols>
  <sheetData>
    <row r="2" spans="1:9" x14ac:dyDescent="0.2">
      <c r="B2" t="s">
        <v>30</v>
      </c>
    </row>
    <row r="3" spans="1:9" x14ac:dyDescent="0.2">
      <c r="A3" s="8" t="s">
        <v>17</v>
      </c>
      <c r="B3" t="s">
        <v>23</v>
      </c>
      <c r="C3" t="s">
        <v>22</v>
      </c>
      <c r="D3" t="s">
        <v>29</v>
      </c>
      <c r="E3" t="s">
        <v>24</v>
      </c>
      <c r="F3" t="s">
        <v>25</v>
      </c>
      <c r="H3" t="s">
        <v>31</v>
      </c>
      <c r="I3" t="s">
        <v>32</v>
      </c>
    </row>
    <row r="4" spans="1:9" x14ac:dyDescent="0.2">
      <c r="A4" s="9" t="s">
        <v>14</v>
      </c>
      <c r="B4" s="7">
        <v>63.177238670000406</v>
      </c>
      <c r="C4" s="7">
        <v>0</v>
      </c>
      <c r="D4" s="7">
        <v>2153.7848631299998</v>
      </c>
      <c r="H4" s="10"/>
    </row>
    <row r="5" spans="1:9" x14ac:dyDescent="0.2">
      <c r="A5" s="9" t="s">
        <v>9</v>
      </c>
      <c r="B5" s="7">
        <v>-639.94999999999993</v>
      </c>
      <c r="C5" s="7">
        <v>5</v>
      </c>
      <c r="D5" s="7">
        <v>639.94999999999993</v>
      </c>
      <c r="E5">
        <v>125.6</v>
      </c>
      <c r="F5">
        <f>GETPIVOTDATA("Sum of Gains",$A$4,"Stock","APPL")+E5*GETPIVOTDATA("Sum of Share-Sign",$A$4,"Stock","APPL")</f>
        <v>-11.949999999999932</v>
      </c>
      <c r="H5" s="10">
        <f>GETPIVOTDATA("Sum of Gains",A3,"Stock","APPL")/GETPIVOTDATA("Sum of Buy Gains",A3,"Stock","APPL")</f>
        <v>-1</v>
      </c>
      <c r="I5" s="10">
        <f>F5/GETPIVOTDATA("Sum of Buy Gains",$A$3,"Stock","APPL")</f>
        <v>-1.8673333854207254E-2</v>
      </c>
    </row>
    <row r="6" spans="1:9" x14ac:dyDescent="0.2">
      <c r="A6" s="9" t="s">
        <v>11</v>
      </c>
      <c r="B6" s="7">
        <v>-1486.45</v>
      </c>
      <c r="C6" s="7">
        <v>15</v>
      </c>
      <c r="D6" s="7">
        <v>1486.45</v>
      </c>
      <c r="E6">
        <v>87.11</v>
      </c>
      <c r="F6">
        <f>E6*GETPIVOTDATA("Sum of Share-Sign",$A$4,"Stock","BILI")+GETPIVOTDATA("Sum of Gains",$A$4,"Stock","BILI")</f>
        <v>-179.79999999999995</v>
      </c>
      <c r="H6" s="10"/>
    </row>
    <row r="7" spans="1:9" x14ac:dyDescent="0.2">
      <c r="A7" s="9" t="s">
        <v>10</v>
      </c>
      <c r="B7" s="7">
        <v>51.349999999999909</v>
      </c>
      <c r="C7" s="7">
        <v>0</v>
      </c>
      <c r="D7" s="7">
        <v>1387.55</v>
      </c>
      <c r="H7" s="10"/>
    </row>
    <row r="8" spans="1:9" x14ac:dyDescent="0.2">
      <c r="A8" s="9" t="s">
        <v>6</v>
      </c>
      <c r="B8" s="7">
        <v>-2344.7654999999995</v>
      </c>
      <c r="C8" s="7">
        <v>3.9999999999999994E-2</v>
      </c>
      <c r="D8" s="7">
        <v>5059.7298000000001</v>
      </c>
      <c r="E8">
        <v>49000</v>
      </c>
      <c r="F8">
        <f>E8*GETPIVOTDATA("Sum of Share-Sign",$A$4,"Stock","BTC")+GETPIVOTDATA("Sum of Gains",$A$4,"Stock","BTC")</f>
        <v>-384.76549999999975</v>
      </c>
      <c r="H8" s="10"/>
    </row>
    <row r="9" spans="1:9" x14ac:dyDescent="0.2">
      <c r="A9" s="9" t="s">
        <v>13</v>
      </c>
      <c r="B9" s="7">
        <v>-25.002828079999997</v>
      </c>
      <c r="C9" s="7">
        <v>0.56490799999999997</v>
      </c>
      <c r="D9" s="7">
        <v>25.002828079999997</v>
      </c>
      <c r="E9">
        <v>41.8</v>
      </c>
      <c r="F9">
        <f>E9*GETPIVOTDATA("Sum of Share-Sign",$A$4,"Stock","COPX")+GETPIVOTDATA("Sum of Gains",$A$4,"Stock","COPX")</f>
        <v>-1.3896736800000014</v>
      </c>
      <c r="H9" s="10"/>
    </row>
    <row r="10" spans="1:9" x14ac:dyDescent="0.2">
      <c r="A10" s="9" t="s">
        <v>5</v>
      </c>
      <c r="B10" s="7">
        <v>-2543.2328999999995</v>
      </c>
      <c r="C10" s="7">
        <v>51.759999999999991</v>
      </c>
      <c r="D10" s="7">
        <v>4427.6328999999996</v>
      </c>
      <c r="E10">
        <v>34.11</v>
      </c>
      <c r="F10">
        <f>E10*GETPIVOTDATA("Sum of Share-Sign",$A$4,"Stock","COUR")+GETPIVOTDATA("Sum of Gains",$A$4,"Stock","COUR")</f>
        <v>-777.69929999999977</v>
      </c>
      <c r="H10" s="10"/>
    </row>
    <row r="11" spans="1:9" x14ac:dyDescent="0.2">
      <c r="A11" s="9" t="s">
        <v>15</v>
      </c>
      <c r="B11" s="7">
        <v>39.487100000000169</v>
      </c>
      <c r="C11" s="7">
        <v>0</v>
      </c>
      <c r="D11" s="7">
        <v>2000.1956</v>
      </c>
      <c r="H11" s="10"/>
    </row>
    <row r="12" spans="1:9" x14ac:dyDescent="0.2">
      <c r="A12" s="9" t="s">
        <v>7</v>
      </c>
      <c r="B12" s="7">
        <v>301.78000000000003</v>
      </c>
      <c r="C12" s="7">
        <v>193</v>
      </c>
      <c r="D12" s="7">
        <v>698.86</v>
      </c>
      <c r="E12">
        <v>0.39</v>
      </c>
      <c r="F12">
        <f>GETPIVOTDATA("Sum of Share-Sign",$A$4,"Stock","DODGE")*E12+GETPIVOTDATA("Sum of Gains",$A$4,"Stock","DODGE")</f>
        <v>377.05</v>
      </c>
      <c r="H12" s="10"/>
    </row>
    <row r="13" spans="1:9" x14ac:dyDescent="0.2">
      <c r="A13" s="9" t="s">
        <v>12</v>
      </c>
      <c r="B13" s="7">
        <v>-25.002506640000004</v>
      </c>
      <c r="C13" s="7">
        <v>0.73623400000000006</v>
      </c>
      <c r="D13" s="7">
        <v>25.002506640000004</v>
      </c>
      <c r="E13">
        <v>32.72</v>
      </c>
      <c r="F13">
        <f>GETPIVOTDATA("Sum of Share-Sign",$A$4,"Stock","GOEX")*E13+GETPIVOTDATA("Sum of Gains",$A$4,"Stock","GOEX")</f>
        <v>-0.91293016000000193</v>
      </c>
      <c r="H13" s="10"/>
    </row>
    <row r="14" spans="1:9" x14ac:dyDescent="0.2">
      <c r="A14" s="9" t="s">
        <v>16</v>
      </c>
      <c r="B14" s="7">
        <v>1443.4916284799992</v>
      </c>
      <c r="C14" s="7">
        <v>0</v>
      </c>
      <c r="D14" s="7">
        <v>7999.9962799999994</v>
      </c>
      <c r="H14" s="10"/>
    </row>
    <row r="15" spans="1:9" x14ac:dyDescent="0.2">
      <c r="A15" s="9" t="s">
        <v>8</v>
      </c>
      <c r="B15" s="7">
        <v>225.24878605000049</v>
      </c>
      <c r="C15" s="7">
        <v>-0.64499699999999649</v>
      </c>
      <c r="D15" s="7">
        <v>7606.9999999999991</v>
      </c>
      <c r="H15" s="10"/>
    </row>
    <row r="16" spans="1:9" x14ac:dyDescent="0.2">
      <c r="A16" s="9" t="s">
        <v>21</v>
      </c>
      <c r="B16" s="7"/>
      <c r="C16" s="7"/>
      <c r="D16" s="7"/>
      <c r="H16" s="10"/>
    </row>
    <row r="17" spans="1:11" x14ac:dyDescent="0.2">
      <c r="A17" s="9" t="s">
        <v>18</v>
      </c>
      <c r="B17" s="7">
        <v>-4939.8689815199987</v>
      </c>
      <c r="C17" s="7">
        <v>265.45614500000005</v>
      </c>
      <c r="D17" s="7">
        <v>33511.154777849995</v>
      </c>
    </row>
    <row r="22" spans="1:11" x14ac:dyDescent="0.2">
      <c r="A22" t="s">
        <v>36</v>
      </c>
      <c r="K22" s="19" t="s">
        <v>44</v>
      </c>
    </row>
    <row r="23" spans="1:11" x14ac:dyDescent="0.2">
      <c r="K23" s="18" t="s">
        <v>43</v>
      </c>
    </row>
    <row r="24" spans="1:11" x14ac:dyDescent="0.2">
      <c r="A24" t="s">
        <v>17</v>
      </c>
      <c r="B24" t="s">
        <v>35</v>
      </c>
      <c r="C24" t="s">
        <v>34</v>
      </c>
      <c r="D24" t="s">
        <v>33</v>
      </c>
      <c r="E24" t="s">
        <v>24</v>
      </c>
      <c r="F24" t="s">
        <v>25</v>
      </c>
      <c r="H24" t="s">
        <v>31</v>
      </c>
      <c r="I24" t="s">
        <v>32</v>
      </c>
      <c r="K24" s="17" t="s">
        <v>42</v>
      </c>
    </row>
    <row r="25" spans="1:11" x14ac:dyDescent="0.2">
      <c r="A25" t="s">
        <v>14</v>
      </c>
      <c r="B25">
        <v>2153.7848631299998</v>
      </c>
      <c r="C25">
        <v>0</v>
      </c>
      <c r="D25">
        <v>63.177238670000406</v>
      </c>
      <c r="F25">
        <f>D25+C25*E25</f>
        <v>63.177238670000406</v>
      </c>
      <c r="H25" s="10">
        <f>D25/B25</f>
        <v>2.9333124097728001E-2</v>
      </c>
      <c r="I25" s="10">
        <f>F25/B25</f>
        <v>2.9333124097728001E-2</v>
      </c>
      <c r="K25" s="16" t="s">
        <v>41</v>
      </c>
    </row>
    <row r="26" spans="1:11" x14ac:dyDescent="0.2">
      <c r="A26" s="12" t="s">
        <v>9</v>
      </c>
      <c r="B26">
        <v>639.94999999999993</v>
      </c>
      <c r="C26">
        <v>5</v>
      </c>
      <c r="D26">
        <v>-639.94999999999993</v>
      </c>
      <c r="E26">
        <v>125.6</v>
      </c>
      <c r="F26">
        <f>GETPIVOTDATA("Sum of Gains",$A$4,"Stock","APPL")+E26*GETPIVOTDATA("Sum of Share-Sign",$A$4,"Stock","APPL")</f>
        <v>-11.949999999999932</v>
      </c>
      <c r="H26" s="10">
        <f>D26/B26</f>
        <v>-1</v>
      </c>
      <c r="I26" s="10">
        <f>F26/B26</f>
        <v>-1.8673333854207254E-2</v>
      </c>
      <c r="K26" s="15" t="s">
        <v>37</v>
      </c>
    </row>
    <row r="27" spans="1:11" x14ac:dyDescent="0.2">
      <c r="A27" s="13" t="s">
        <v>11</v>
      </c>
      <c r="B27">
        <v>1486.45</v>
      </c>
      <c r="C27">
        <v>15</v>
      </c>
      <c r="D27">
        <v>-1486.45</v>
      </c>
      <c r="E27">
        <v>87.11</v>
      </c>
      <c r="F27">
        <f>E27*GETPIVOTDATA("Sum of Share-Sign",$A$4,"Stock","BILI")+GETPIVOTDATA("Sum of Gains",$A$4,"Stock","BILI")</f>
        <v>-179.79999999999995</v>
      </c>
      <c r="H27" s="10">
        <f t="shared" ref="H27:H38" si="0">D27/B27</f>
        <v>-1</v>
      </c>
      <c r="I27" s="10">
        <f t="shared" ref="I27:I38" si="1">F27/B27</f>
        <v>-0.12095933263816472</v>
      </c>
      <c r="K27" s="20" t="s">
        <v>38</v>
      </c>
    </row>
    <row r="28" spans="1:11" x14ac:dyDescent="0.2">
      <c r="A28" t="s">
        <v>10</v>
      </c>
      <c r="B28">
        <v>1387.55</v>
      </c>
      <c r="C28">
        <v>0</v>
      </c>
      <c r="D28">
        <v>51.349999999999909</v>
      </c>
      <c r="F28">
        <f>D28+C28*E28</f>
        <v>51.349999999999909</v>
      </c>
      <c r="H28" s="10">
        <f t="shared" si="0"/>
        <v>3.7007675399084651E-2</v>
      </c>
      <c r="I28" s="10">
        <f t="shared" si="1"/>
        <v>3.7007675399084651E-2</v>
      </c>
      <c r="K28" s="11" t="s">
        <v>39</v>
      </c>
    </row>
    <row r="29" spans="1:11" x14ac:dyDescent="0.2">
      <c r="A29" t="s">
        <v>6</v>
      </c>
      <c r="B29">
        <v>5059.7298000000001</v>
      </c>
      <c r="C29">
        <v>3.9999999999999994E-2</v>
      </c>
      <c r="D29">
        <v>-2344.7654999999995</v>
      </c>
      <c r="E29">
        <v>49000</v>
      </c>
      <c r="F29">
        <f>E29*GETPIVOTDATA("Sum of Share-Sign",$A$4,"Stock","BTC")+GETPIVOTDATA("Sum of Gains",$A$4,"Stock","BTC")</f>
        <v>-384.76549999999975</v>
      </c>
      <c r="H29" s="10">
        <f t="shared" si="0"/>
        <v>-0.46341713741314794</v>
      </c>
      <c r="I29" s="10">
        <f t="shared" si="1"/>
        <v>-7.6044673373665078E-2</v>
      </c>
      <c r="K29" s="14" t="s">
        <v>40</v>
      </c>
    </row>
    <row r="30" spans="1:11" x14ac:dyDescent="0.2">
      <c r="A30" s="11" t="s">
        <v>13</v>
      </c>
      <c r="B30">
        <v>25.002828079999997</v>
      </c>
      <c r="C30">
        <v>0.56490799999999997</v>
      </c>
      <c r="D30">
        <v>-25.002828079999997</v>
      </c>
      <c r="E30">
        <v>41.8</v>
      </c>
      <c r="F30">
        <f>E30*GETPIVOTDATA("Sum of Share-Sign",$A$4,"Stock","COPX")+GETPIVOTDATA("Sum of Gains",$A$4,"Stock","COPX")</f>
        <v>-1.3896736800000014</v>
      </c>
      <c r="H30" s="10">
        <f t="shared" si="0"/>
        <v>-1</v>
      </c>
      <c r="I30" s="10">
        <f t="shared" si="1"/>
        <v>-5.5580659737912395E-2</v>
      </c>
    </row>
    <row r="31" spans="1:11" x14ac:dyDescent="0.2">
      <c r="A31" s="13" t="s">
        <v>5</v>
      </c>
      <c r="B31">
        <v>4427.6328999999996</v>
      </c>
      <c r="C31">
        <v>51.759999999999991</v>
      </c>
      <c r="D31">
        <v>-2543.2328999999995</v>
      </c>
      <c r="E31">
        <v>34.11</v>
      </c>
      <c r="F31">
        <f>E31*GETPIVOTDATA("Sum of Share-Sign",$A$4,"Stock","COUR")+GETPIVOTDATA("Sum of Gains",$A$4,"Stock","COUR")</f>
        <v>-777.69929999999977</v>
      </c>
      <c r="H31" s="10">
        <f t="shared" si="0"/>
        <v>-0.57440012698433052</v>
      </c>
      <c r="I31" s="10">
        <f t="shared" si="1"/>
        <v>-0.17564674343259123</v>
      </c>
    </row>
    <row r="32" spans="1:11" x14ac:dyDescent="0.2">
      <c r="A32" t="s">
        <v>15</v>
      </c>
      <c r="B32">
        <v>2000.1956</v>
      </c>
      <c r="C32">
        <v>0</v>
      </c>
      <c r="D32">
        <v>39.487100000000169</v>
      </c>
      <c r="F32">
        <f>D32+C32*E32</f>
        <v>39.487100000000169</v>
      </c>
      <c r="H32" s="10">
        <f t="shared" si="0"/>
        <v>1.9741619269635514E-2</v>
      </c>
      <c r="I32" s="10">
        <f t="shared" si="1"/>
        <v>1.9741619269635514E-2</v>
      </c>
    </row>
    <row r="33" spans="1:9" x14ac:dyDescent="0.2">
      <c r="A33" t="s">
        <v>7</v>
      </c>
      <c r="B33">
        <v>698.86</v>
      </c>
      <c r="C33">
        <v>193</v>
      </c>
      <c r="D33">
        <v>301.78000000000003</v>
      </c>
      <c r="E33">
        <v>0.39</v>
      </c>
      <c r="F33">
        <f>GETPIVOTDATA("Sum of Share-Sign",$A$4,"Stock","DODGE")*E33+GETPIVOTDATA("Sum of Gains",$A$4,"Stock","DODGE")</f>
        <v>377.05</v>
      </c>
      <c r="H33" s="10">
        <f t="shared" si="0"/>
        <v>0.43181753140829354</v>
      </c>
      <c r="I33" s="10">
        <f t="shared" si="1"/>
        <v>0.53952150645336694</v>
      </c>
    </row>
    <row r="34" spans="1:9" x14ac:dyDescent="0.2">
      <c r="A34" s="12" t="s">
        <v>12</v>
      </c>
      <c r="B34">
        <v>25.002506640000004</v>
      </c>
      <c r="C34">
        <v>0.73623400000000006</v>
      </c>
      <c r="D34">
        <v>-25.002506640000004</v>
      </c>
      <c r="E34">
        <v>32.72</v>
      </c>
      <c r="F34">
        <f>GETPIVOTDATA("Sum of Share-Sign",$A$4,"Stock","GOEX")*E34+GETPIVOTDATA("Sum of Gains",$A$4,"Stock","GOEX")</f>
        <v>-0.91293016000000193</v>
      </c>
      <c r="H34" s="10">
        <f t="shared" si="0"/>
        <v>-1</v>
      </c>
      <c r="I34" s="10">
        <f t="shared" si="1"/>
        <v>-3.6513545347467681E-2</v>
      </c>
    </row>
    <row r="35" spans="1:9" x14ac:dyDescent="0.2">
      <c r="A35" t="s">
        <v>16</v>
      </c>
      <c r="B35">
        <v>7999.9962799999994</v>
      </c>
      <c r="C35">
        <v>0</v>
      </c>
      <c r="D35">
        <v>1443.4916284799992</v>
      </c>
      <c r="F35">
        <f>D35+C35*E35</f>
        <v>1443.4916284799992</v>
      </c>
      <c r="H35" s="10">
        <f t="shared" si="0"/>
        <v>0.18043653746298985</v>
      </c>
      <c r="I35" s="10">
        <f t="shared" si="1"/>
        <v>0.18043653746298985</v>
      </c>
    </row>
    <row r="36" spans="1:9" x14ac:dyDescent="0.2">
      <c r="A36" t="s">
        <v>8</v>
      </c>
      <c r="B36">
        <v>7606.9999999999991</v>
      </c>
      <c r="C36">
        <v>-0.64499699999999649</v>
      </c>
      <c r="D36">
        <v>225.24878605000049</v>
      </c>
      <c r="F36">
        <f>D36+C36*E36</f>
        <v>225.24878605000049</v>
      </c>
      <c r="H36" s="10">
        <f t="shared" si="0"/>
        <v>2.9610725128171488E-2</v>
      </c>
      <c r="I36" s="10">
        <f t="shared" si="1"/>
        <v>2.9610725128171488E-2</v>
      </c>
    </row>
    <row r="37" spans="1:9" x14ac:dyDescent="0.2">
      <c r="H37" s="10"/>
      <c r="I37" s="10"/>
    </row>
    <row r="38" spans="1:9" x14ac:dyDescent="0.2">
      <c r="A38" t="s">
        <v>50</v>
      </c>
      <c r="D38">
        <f>SUM(D25:D36)</f>
        <v>-4939.8689815199987</v>
      </c>
      <c r="H38" s="10"/>
      <c r="I38" s="10"/>
    </row>
    <row r="39" spans="1:9" x14ac:dyDescent="0.2">
      <c r="H39" t="s">
        <v>54</v>
      </c>
    </row>
    <row r="41" spans="1:9" ht="21" x14ac:dyDescent="0.25">
      <c r="A41" s="31" t="s">
        <v>59</v>
      </c>
      <c r="B41" s="26"/>
      <c r="C41" s="26"/>
      <c r="D41" s="26"/>
      <c r="E41" s="26"/>
    </row>
    <row r="42" spans="1:9" ht="21" x14ac:dyDescent="0.25">
      <c r="A42" s="26"/>
      <c r="B42" s="26"/>
      <c r="C42" s="26"/>
      <c r="D42" s="29" t="s">
        <v>58</v>
      </c>
      <c r="E42" s="26"/>
      <c r="G42" s="29"/>
    </row>
    <row r="43" spans="1:9" ht="21" x14ac:dyDescent="0.25">
      <c r="A43" s="30" t="s">
        <v>17</v>
      </c>
      <c r="B43" s="30" t="s">
        <v>56</v>
      </c>
      <c r="C43" s="30" t="s">
        <v>57</v>
      </c>
      <c r="D43" s="30" t="s">
        <v>55</v>
      </c>
      <c r="E43" s="30"/>
      <c r="G43" s="26"/>
    </row>
    <row r="44" spans="1:9" ht="21" x14ac:dyDescent="0.25">
      <c r="A44" s="27" t="s">
        <v>14</v>
      </c>
      <c r="B44" s="28">
        <v>2153.7848631299998</v>
      </c>
      <c r="C44" s="28">
        <v>63.177238670000406</v>
      </c>
      <c r="D44" s="27">
        <v>2.9333124097728001E-2</v>
      </c>
      <c r="E44" s="27">
        <v>2.9333124097728001E-2</v>
      </c>
      <c r="G44" s="26"/>
    </row>
    <row r="45" spans="1:9" ht="21" x14ac:dyDescent="0.25">
      <c r="A45" s="27" t="s">
        <v>9</v>
      </c>
      <c r="B45" s="28">
        <v>639.94999999999993</v>
      </c>
      <c r="C45" s="28">
        <v>-11.949999999999932</v>
      </c>
      <c r="D45" s="27">
        <v>-1.8673333854207254E-2</v>
      </c>
      <c r="E45" s="27">
        <v>-1.8673333854207254E-2</v>
      </c>
      <c r="G45" s="27"/>
    </row>
    <row r="46" spans="1:9" ht="21" x14ac:dyDescent="0.25">
      <c r="A46" s="27" t="s">
        <v>11</v>
      </c>
      <c r="B46" s="28">
        <v>1486.45</v>
      </c>
      <c r="C46" s="28">
        <v>-179.79999999999995</v>
      </c>
      <c r="D46" s="27">
        <v>-0.12095933263816472</v>
      </c>
      <c r="E46" s="27">
        <v>-0.12095933263816472</v>
      </c>
      <c r="G46" s="27"/>
    </row>
    <row r="47" spans="1:9" ht="21" x14ac:dyDescent="0.25">
      <c r="A47" s="27" t="s">
        <v>10</v>
      </c>
      <c r="B47" s="28">
        <v>1387.55</v>
      </c>
      <c r="C47" s="28">
        <v>51.349999999999909</v>
      </c>
      <c r="D47" s="27">
        <v>3.7007675399084651E-2</v>
      </c>
      <c r="E47" s="27">
        <v>3.7007675399084651E-2</v>
      </c>
      <c r="G47" s="27"/>
    </row>
    <row r="48" spans="1:9" ht="21" x14ac:dyDescent="0.25">
      <c r="A48" s="27" t="s">
        <v>6</v>
      </c>
      <c r="B48" s="28">
        <v>5059.7298000000001</v>
      </c>
      <c r="C48" s="28">
        <v>-384.76549999999975</v>
      </c>
      <c r="D48" s="27">
        <v>-7.6044673373665078E-2</v>
      </c>
      <c r="E48" s="27">
        <v>-7.6044673373665078E-2</v>
      </c>
      <c r="G48" s="27"/>
    </row>
    <row r="49" spans="1:7" ht="21" x14ac:dyDescent="0.25">
      <c r="A49" s="27" t="s">
        <v>13</v>
      </c>
      <c r="B49" s="28">
        <v>25.002828079999997</v>
      </c>
      <c r="C49" s="28">
        <v>-1.3896736800000014</v>
      </c>
      <c r="D49" s="27">
        <v>-5.5580659737912395E-2</v>
      </c>
      <c r="E49" s="27">
        <v>-5.5580659737912395E-2</v>
      </c>
      <c r="G49" s="27"/>
    </row>
    <row r="50" spans="1:7" ht="21" x14ac:dyDescent="0.25">
      <c r="A50" s="27" t="s">
        <v>5</v>
      </c>
      <c r="B50" s="28">
        <v>4427.6328999999996</v>
      </c>
      <c r="C50" s="28">
        <v>-777.69929999999977</v>
      </c>
      <c r="D50" s="27">
        <v>-0.17564674343259123</v>
      </c>
      <c r="E50" s="27">
        <v>-0.17564674343259123</v>
      </c>
      <c r="G50" s="27"/>
    </row>
    <row r="51" spans="1:7" ht="21" x14ac:dyDescent="0.25">
      <c r="A51" s="27" t="s">
        <v>15</v>
      </c>
      <c r="B51" s="28">
        <v>2000.1956</v>
      </c>
      <c r="C51" s="28">
        <v>39.487100000000169</v>
      </c>
      <c r="D51" s="27">
        <v>1.9741619269635514E-2</v>
      </c>
      <c r="E51" s="27">
        <v>1.9741619269635514E-2</v>
      </c>
      <c r="G51" s="27"/>
    </row>
    <row r="52" spans="1:7" ht="21" x14ac:dyDescent="0.25">
      <c r="A52" s="27" t="s">
        <v>7</v>
      </c>
      <c r="B52" s="28">
        <v>698.86</v>
      </c>
      <c r="C52" s="28">
        <v>377.05</v>
      </c>
      <c r="D52" s="27">
        <v>0.53952150645336694</v>
      </c>
      <c r="E52" s="27">
        <v>0.53952150645336694</v>
      </c>
      <c r="G52" s="27"/>
    </row>
    <row r="53" spans="1:7" ht="21" x14ac:dyDescent="0.25">
      <c r="A53" s="27" t="s">
        <v>12</v>
      </c>
      <c r="B53" s="28">
        <v>25.002506640000004</v>
      </c>
      <c r="C53" s="28">
        <v>-0.91293016000000193</v>
      </c>
      <c r="D53" s="27">
        <v>-3.6513545347467681E-2</v>
      </c>
      <c r="E53" s="27">
        <v>-3.6513545347467681E-2</v>
      </c>
      <c r="G53" s="27"/>
    </row>
    <row r="54" spans="1:7" ht="21" x14ac:dyDescent="0.25">
      <c r="A54" s="27" t="s">
        <v>16</v>
      </c>
      <c r="B54" s="28">
        <v>7999.9962799999994</v>
      </c>
      <c r="C54" s="28">
        <v>1443.4916284799992</v>
      </c>
      <c r="D54" s="27">
        <v>0.18043653746298985</v>
      </c>
      <c r="E54" s="27">
        <v>0.18043653746298985</v>
      </c>
      <c r="G54" s="27"/>
    </row>
    <row r="55" spans="1:7" ht="21" x14ac:dyDescent="0.25">
      <c r="A55" s="27" t="s">
        <v>8</v>
      </c>
      <c r="B55" s="28">
        <v>7606.9999999999991</v>
      </c>
      <c r="C55" s="28">
        <v>225.24878605000049</v>
      </c>
      <c r="D55" s="27">
        <v>2.9610725128171488E-2</v>
      </c>
      <c r="E55" s="27">
        <v>2.9610725128171488E-2</v>
      </c>
      <c r="G55" s="27"/>
    </row>
    <row r="56" spans="1:7" ht="21" x14ac:dyDescent="0.25">
      <c r="G56" s="27"/>
    </row>
  </sheetData>
  <conditionalFormatting sqref="F4:F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{BC3F689A-41C0-8F4B-A10D-589E8CC60DAA}</x14:id>
        </ext>
      </extLst>
    </cfRule>
  </conditionalFormatting>
  <conditionalFormatting sqref="F25:F3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{9A4A5E4A-32CE-B043-8954-F240C1C00C12}</x14:id>
        </ext>
      </extLst>
    </cfRule>
  </conditionalFormatting>
  <conditionalFormatting sqref="H25:I3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{C04A881C-21E5-8C4F-BCD0-9C3A09D033FF}</x14:id>
        </ext>
      </extLst>
    </cfRule>
  </conditionalFormatting>
  <conditionalFormatting sqref="D44:D5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{79681F57-F0B3-CE41-92A7-2D79F8F676DE}</x14:id>
        </ext>
      </extLst>
    </cfRule>
  </conditionalFormatting>
  <conditionalFormatting sqref="E44:E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A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{6DD8037A-2DD4-3941-8A9B-66BF25A7302E}</x14:id>
        </ext>
      </extLst>
    </cfRule>
  </conditionalFormatting>
  <conditionalFormatting sqref="G43:G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F689A-41C0-8F4B-A10D-589E8CC60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</xm:sqref>
        </x14:conditionalFormatting>
        <x14:conditionalFormatting xmlns:xm="http://schemas.microsoft.com/office/excel/2006/main">
          <x14:cfRule type="dataBar" id="{9A4A5E4A-32CE-B043-8954-F240C1C00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C04A881C-21E5-8C4F-BCD0-9C3A09D03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H25:I36</xm:sqref>
        </x14:conditionalFormatting>
        <x14:conditionalFormatting xmlns:xm="http://schemas.microsoft.com/office/excel/2006/main">
          <x14:cfRule type="dataBar" id="{79681F57-F0B3-CE41-92A7-2D79F8F67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D44:D55</xm:sqref>
        </x14:conditionalFormatting>
        <x14:conditionalFormatting xmlns:xm="http://schemas.microsoft.com/office/excel/2006/main">
          <x14:cfRule type="dataBar" id="{6DD8037A-2DD4-3941-8A9B-66BF25A73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29" zoomScale="150" zoomScaleNormal="150" workbookViewId="0">
      <selection activeCell="H50" sqref="H50:H51"/>
    </sheetView>
  </sheetViews>
  <sheetFormatPr baseColWidth="10" defaultRowHeight="16" x14ac:dyDescent="0.2"/>
  <cols>
    <col min="1" max="1" width="15" bestFit="1" customWidth="1"/>
    <col min="2" max="2" width="13" bestFit="1" customWidth="1"/>
    <col min="3" max="4" width="12.33203125" bestFit="1" customWidth="1"/>
    <col min="5" max="5" width="12.6640625" customWidth="1"/>
    <col min="6" max="6" width="13" bestFit="1" customWidth="1"/>
    <col min="7" max="7" width="16.5" customWidth="1"/>
  </cols>
  <sheetData>
    <row r="1" spans="1:6" x14ac:dyDescent="0.2">
      <c r="A1" s="8" t="s">
        <v>2</v>
      </c>
      <c r="B1" s="9">
        <v>-1</v>
      </c>
      <c r="C1" s="9"/>
    </row>
    <row r="3" spans="1:6" x14ac:dyDescent="0.2">
      <c r="A3" s="8" t="s">
        <v>17</v>
      </c>
      <c r="B3" t="s">
        <v>23</v>
      </c>
      <c r="C3" t="s">
        <v>46</v>
      </c>
      <c r="D3" t="s">
        <v>47</v>
      </c>
      <c r="E3" t="s">
        <v>24</v>
      </c>
      <c r="F3" t="s">
        <v>45</v>
      </c>
    </row>
    <row r="4" spans="1:6" x14ac:dyDescent="0.2">
      <c r="A4" s="9" t="s">
        <v>14</v>
      </c>
      <c r="B4" s="7">
        <v>-2153.7848631299998</v>
      </c>
      <c r="C4" s="7">
        <v>17.991185000000002</v>
      </c>
      <c r="D4">
        <f>GETPIVOTDATA("Sum of Gains",$A$3,"Stock","ABBT")/GETPIVOTDATA("Sum of Share",$A$3,"Stock","ABBT")*(-1)</f>
        <v>119.71334090166933</v>
      </c>
    </row>
    <row r="5" spans="1:6" x14ac:dyDescent="0.2">
      <c r="A5" s="9" t="s">
        <v>9</v>
      </c>
      <c r="B5" s="7">
        <v>-639.94999999999993</v>
      </c>
      <c r="C5" s="7">
        <v>5</v>
      </c>
      <c r="D5">
        <f>GETPIVOTDATA("Sum of Gains",$A$3,"Stock","APPL")/GETPIVOTDATA("Sum of Share",$A$3,"Stock","APPL")*(-1)</f>
        <v>127.98999999999998</v>
      </c>
      <c r="E5">
        <v>125.6</v>
      </c>
      <c r="F5" s="10">
        <f>E5/D5-1</f>
        <v>-1.8673333854207219E-2</v>
      </c>
    </row>
    <row r="6" spans="1:6" x14ac:dyDescent="0.2">
      <c r="A6" s="9" t="s">
        <v>11</v>
      </c>
      <c r="B6" s="7">
        <v>-1486.45</v>
      </c>
      <c r="C6" s="7">
        <v>15</v>
      </c>
      <c r="D6">
        <f>GETPIVOTDATA("Sum of Gains",$A$3,"Stock","BILI")/GETPIVOTDATA("Sum of Share",$A$3,"Stock","BILI")*(-1)</f>
        <v>99.096666666666664</v>
      </c>
      <c r="E6">
        <v>87.11</v>
      </c>
      <c r="F6" s="10">
        <f t="shared" ref="F6:F13" si="0">E6/D6-1</f>
        <v>-0.12095933263816472</v>
      </c>
    </row>
    <row r="7" spans="1:6" x14ac:dyDescent="0.2">
      <c r="A7" s="9" t="s">
        <v>10</v>
      </c>
      <c r="B7" s="7">
        <v>-1387.55</v>
      </c>
      <c r="C7" s="7">
        <v>5</v>
      </c>
      <c r="F7" s="10" t="e">
        <f t="shared" si="0"/>
        <v>#DIV/0!</v>
      </c>
    </row>
    <row r="8" spans="1:6" x14ac:dyDescent="0.2">
      <c r="A8" s="9" t="s">
        <v>6</v>
      </c>
      <c r="B8" s="7">
        <v>-5059.7298000000001</v>
      </c>
      <c r="C8" s="7">
        <v>0.09</v>
      </c>
      <c r="E8">
        <v>49000</v>
      </c>
      <c r="F8" s="10" t="e">
        <f t="shared" si="0"/>
        <v>#DIV/0!</v>
      </c>
    </row>
    <row r="9" spans="1:6" x14ac:dyDescent="0.2">
      <c r="A9" s="9" t="s">
        <v>13</v>
      </c>
      <c r="B9" s="7">
        <v>-25.002828079999997</v>
      </c>
      <c r="C9" s="7">
        <v>0.56490799999999997</v>
      </c>
      <c r="E9">
        <v>41.8</v>
      </c>
      <c r="F9" s="10" t="e">
        <f t="shared" si="0"/>
        <v>#DIV/0!</v>
      </c>
    </row>
    <row r="10" spans="1:6" x14ac:dyDescent="0.2">
      <c r="A10" s="9" t="s">
        <v>5</v>
      </c>
      <c r="B10" s="7">
        <v>-4427.6328999999996</v>
      </c>
      <c r="C10" s="7">
        <v>91.759999999999991</v>
      </c>
      <c r="E10">
        <v>34.11</v>
      </c>
      <c r="F10" s="10" t="e">
        <f t="shared" si="0"/>
        <v>#DIV/0!</v>
      </c>
    </row>
    <row r="11" spans="1:6" x14ac:dyDescent="0.2">
      <c r="A11" s="9" t="s">
        <v>15</v>
      </c>
      <c r="B11" s="7">
        <v>-2000.1956</v>
      </c>
      <c r="C11" s="7">
        <v>27.43</v>
      </c>
      <c r="F11" s="10"/>
    </row>
    <row r="12" spans="1:6" x14ac:dyDescent="0.2">
      <c r="A12" s="9" t="s">
        <v>7</v>
      </c>
      <c r="B12" s="7">
        <v>-698.86</v>
      </c>
      <c r="C12" s="7">
        <v>2081</v>
      </c>
      <c r="E12">
        <v>0.39</v>
      </c>
      <c r="F12" s="10" t="e">
        <f t="shared" si="0"/>
        <v>#DIV/0!</v>
      </c>
    </row>
    <row r="13" spans="1:6" x14ac:dyDescent="0.2">
      <c r="A13" s="9" t="s">
        <v>12</v>
      </c>
      <c r="B13" s="7">
        <v>-25.002506640000004</v>
      </c>
      <c r="C13" s="7">
        <v>0.73623400000000006</v>
      </c>
      <c r="E13">
        <v>32.72</v>
      </c>
      <c r="F13" s="10" t="e">
        <f t="shared" si="0"/>
        <v>#DIV/0!</v>
      </c>
    </row>
    <row r="14" spans="1:6" x14ac:dyDescent="0.2">
      <c r="A14" s="9" t="s">
        <v>16</v>
      </c>
      <c r="B14" s="7">
        <v>-7999.9962799999994</v>
      </c>
      <c r="C14" s="7">
        <v>12.538</v>
      </c>
      <c r="F14" s="10"/>
    </row>
    <row r="15" spans="1:6" x14ac:dyDescent="0.2">
      <c r="A15" s="9" t="s">
        <v>8</v>
      </c>
      <c r="B15" s="7">
        <v>-7606.9999999999991</v>
      </c>
      <c r="C15" s="7">
        <v>50</v>
      </c>
      <c r="F15" s="10"/>
    </row>
    <row r="16" spans="1:6" x14ac:dyDescent="0.2">
      <c r="A16" s="9" t="s">
        <v>18</v>
      </c>
      <c r="B16" s="7">
        <v>-33511.154777849995</v>
      </c>
      <c r="C16" s="7">
        <v>2307.1103269999999</v>
      </c>
      <c r="F16" s="10"/>
    </row>
    <row r="20" spans="1:12" x14ac:dyDescent="0.2">
      <c r="L20" s="24"/>
    </row>
    <row r="21" spans="1:12" x14ac:dyDescent="0.2">
      <c r="G21" t="s">
        <v>60</v>
      </c>
    </row>
    <row r="22" spans="1:12" x14ac:dyDescent="0.2">
      <c r="A22" t="s">
        <v>17</v>
      </c>
      <c r="B22" t="s">
        <v>23</v>
      </c>
      <c r="C22" t="s">
        <v>46</v>
      </c>
      <c r="D22" t="s">
        <v>47</v>
      </c>
      <c r="E22" t="s">
        <v>24</v>
      </c>
      <c r="F22" t="s">
        <v>45</v>
      </c>
    </row>
    <row r="23" spans="1:12" x14ac:dyDescent="0.2">
      <c r="A23" t="s">
        <v>9</v>
      </c>
      <c r="B23" s="22">
        <v>-639.94999999999993</v>
      </c>
      <c r="C23" s="22">
        <v>5</v>
      </c>
      <c r="D23" s="22">
        <f>B23*(-1)/C23</f>
        <v>127.98999999999998</v>
      </c>
      <c r="E23" s="22">
        <v>125.6</v>
      </c>
      <c r="F23" s="10">
        <f>E23/D23-1</f>
        <v>-1.8673333854207219E-2</v>
      </c>
      <c r="G23">
        <f>D23*0.9</f>
        <v>115.19099999999999</v>
      </c>
    </row>
    <row r="24" spans="1:12" x14ac:dyDescent="0.2">
      <c r="A24" t="s">
        <v>11</v>
      </c>
      <c r="B24" s="22">
        <v>-1486.45</v>
      </c>
      <c r="C24" s="22">
        <v>15</v>
      </c>
      <c r="D24" s="22">
        <f t="shared" ref="D24:D29" si="1">B24*(-1)/C24</f>
        <v>99.096666666666664</v>
      </c>
      <c r="E24" s="22">
        <v>87.11</v>
      </c>
      <c r="F24" s="10">
        <f t="shared" ref="F24:F27" si="2">E24/D24-1</f>
        <v>-0.12095933263816472</v>
      </c>
    </row>
    <row r="25" spans="1:12" x14ac:dyDescent="0.2">
      <c r="A25" t="s">
        <v>6</v>
      </c>
      <c r="B25" s="22">
        <v>-5059.7298000000001</v>
      </c>
      <c r="C25" s="22">
        <v>0.09</v>
      </c>
      <c r="D25" s="22">
        <f t="shared" si="1"/>
        <v>56219.22</v>
      </c>
      <c r="E25" s="22">
        <v>49000</v>
      </c>
      <c r="F25" s="10">
        <f t="shared" si="2"/>
        <v>-0.1284119559111635</v>
      </c>
    </row>
    <row r="26" spans="1:12" x14ac:dyDescent="0.2">
      <c r="A26" t="s">
        <v>13</v>
      </c>
      <c r="B26" s="22">
        <v>-25.002828079999997</v>
      </c>
      <c r="C26" s="22">
        <v>0.56490799999999997</v>
      </c>
      <c r="D26" s="22">
        <f t="shared" si="1"/>
        <v>44.26</v>
      </c>
      <c r="E26" s="22">
        <v>41.8</v>
      </c>
      <c r="F26" s="10">
        <f t="shared" si="2"/>
        <v>-5.5580659737912375E-2</v>
      </c>
    </row>
    <row r="27" spans="1:12" x14ac:dyDescent="0.2">
      <c r="A27" t="s">
        <v>5</v>
      </c>
      <c r="B27" s="22">
        <v>-4427.6328999999996</v>
      </c>
      <c r="C27" s="22">
        <v>91.759999999999991</v>
      </c>
      <c r="D27" s="22">
        <f t="shared" si="1"/>
        <v>48.252320183086312</v>
      </c>
      <c r="E27" s="22">
        <v>34.11</v>
      </c>
      <c r="F27" s="10">
        <f t="shared" si="2"/>
        <v>-0.29309098773748832</v>
      </c>
    </row>
    <row r="28" spans="1:12" x14ac:dyDescent="0.2">
      <c r="A28" t="s">
        <v>7</v>
      </c>
      <c r="B28" s="22">
        <v>-698.86</v>
      </c>
      <c r="C28" s="22">
        <v>2081</v>
      </c>
      <c r="D28" s="22">
        <f t="shared" si="1"/>
        <v>0.33582892839980777</v>
      </c>
      <c r="E28" s="22">
        <v>0.39</v>
      </c>
      <c r="F28" s="10">
        <f t="shared" ref="F28:F29" si="3">E28/D28-1</f>
        <v>0.16130555476061015</v>
      </c>
    </row>
    <row r="29" spans="1:12" x14ac:dyDescent="0.2">
      <c r="A29" t="s">
        <v>12</v>
      </c>
      <c r="B29" s="22">
        <v>-25.002506640000004</v>
      </c>
      <c r="C29" s="22">
        <v>0.73623400000000006</v>
      </c>
      <c r="D29" s="22">
        <f t="shared" si="1"/>
        <v>33.96</v>
      </c>
      <c r="E29" s="22">
        <v>32.72</v>
      </c>
      <c r="F29" s="10">
        <f t="shared" si="3"/>
        <v>-3.6513545347467646E-2</v>
      </c>
    </row>
    <row r="32" spans="1:12" x14ac:dyDescent="0.2">
      <c r="A32" s="34" t="s">
        <v>61</v>
      </c>
      <c r="B32" s="10">
        <v>0.5</v>
      </c>
    </row>
    <row r="33" spans="1:9" ht="17" thickBot="1" x14ac:dyDescent="0.25">
      <c r="F33" s="34"/>
      <c r="G33" s="34"/>
      <c r="H33" s="34"/>
      <c r="I33" s="34"/>
    </row>
    <row r="34" spans="1:9" x14ac:dyDescent="0.2">
      <c r="A34" s="36" t="s">
        <v>17</v>
      </c>
      <c r="B34" s="37" t="s">
        <v>47</v>
      </c>
      <c r="C34" s="37" t="s">
        <v>24</v>
      </c>
      <c r="D34" s="38" t="s">
        <v>45</v>
      </c>
      <c r="E34" t="s">
        <v>62</v>
      </c>
      <c r="F34" s="35" t="s">
        <v>63</v>
      </c>
      <c r="G34" t="s">
        <v>64</v>
      </c>
      <c r="H34" t="s">
        <v>45</v>
      </c>
      <c r="I34" t="s">
        <v>65</v>
      </c>
    </row>
    <row r="35" spans="1:9" x14ac:dyDescent="0.2">
      <c r="A35" s="39" t="s">
        <v>9</v>
      </c>
      <c r="B35" s="40">
        <v>127.98999999999998</v>
      </c>
      <c r="C35" s="40">
        <v>125.6</v>
      </c>
      <c r="D35" s="41">
        <v>-1.8673333854207219E-2</v>
      </c>
      <c r="E35" s="22">
        <v>5</v>
      </c>
      <c r="F35" s="21">
        <f>(E35*B35+C35*E35*$B$32)/(E35+$B$32*E35)</f>
        <v>127.19333333333333</v>
      </c>
      <c r="G35">
        <f>E35*$B$32</f>
        <v>2.5</v>
      </c>
      <c r="H35" s="10">
        <f>C35/F35-1</f>
        <v>-1.2526861994863414E-2</v>
      </c>
      <c r="I35" s="25">
        <f>H35-D35</f>
        <v>6.146471859343805E-3</v>
      </c>
    </row>
    <row r="36" spans="1:9" x14ac:dyDescent="0.2">
      <c r="A36" s="39" t="s">
        <v>11</v>
      </c>
      <c r="B36" s="40">
        <v>99.096666666666664</v>
      </c>
      <c r="C36" s="40">
        <v>87.11</v>
      </c>
      <c r="D36" s="41">
        <v>-0.12095933263816472</v>
      </c>
      <c r="E36" s="22">
        <v>15</v>
      </c>
      <c r="F36" s="21">
        <f t="shared" ref="F36:F41" si="4">(E36*B36+C36*E36*$B$32)/(E36+$B$32*E36)</f>
        <v>95.101111111111109</v>
      </c>
      <c r="G36">
        <f t="shared" ref="G36:G41" si="5">E36*$B$32</f>
        <v>7.5</v>
      </c>
      <c r="H36" s="10">
        <f t="shared" ref="H36:H41" si="6">C36/F36-1</f>
        <v>-8.4027526258601992E-2</v>
      </c>
      <c r="I36" s="25">
        <f t="shared" ref="I36:I41" si="7">H36-D36</f>
        <v>3.6931806379562726E-2</v>
      </c>
    </row>
    <row r="37" spans="1:9" x14ac:dyDescent="0.2">
      <c r="A37" s="39" t="s">
        <v>6</v>
      </c>
      <c r="B37" s="40">
        <v>56219.22</v>
      </c>
      <c r="C37" s="40">
        <v>49000</v>
      </c>
      <c r="D37" s="41">
        <v>-0.1284119559111635</v>
      </c>
      <c r="E37" s="22">
        <v>0.09</v>
      </c>
      <c r="F37" s="21">
        <f t="shared" si="4"/>
        <v>53812.813333333332</v>
      </c>
      <c r="G37">
        <f t="shared" si="5"/>
        <v>4.4999999999999998E-2</v>
      </c>
      <c r="H37" s="10">
        <f t="shared" si="6"/>
        <v>-8.9436196236782228E-2</v>
      </c>
      <c r="I37" s="25">
        <f t="shared" si="7"/>
        <v>3.8975759674381272E-2</v>
      </c>
    </row>
    <row r="38" spans="1:9" x14ac:dyDescent="0.2">
      <c r="A38" s="39" t="s">
        <v>13</v>
      </c>
      <c r="B38" s="40">
        <v>44.26</v>
      </c>
      <c r="C38" s="40">
        <v>41.8</v>
      </c>
      <c r="D38" s="41">
        <v>-5.5580659737912375E-2</v>
      </c>
      <c r="E38" s="22">
        <v>0.56490799999999997</v>
      </c>
      <c r="F38" s="21">
        <f t="shared" si="4"/>
        <v>43.44</v>
      </c>
      <c r="G38">
        <f t="shared" si="5"/>
        <v>0.28245399999999998</v>
      </c>
      <c r="H38" s="10">
        <f t="shared" si="6"/>
        <v>-3.7753222836095834E-2</v>
      </c>
      <c r="I38" s="25">
        <f t="shared" si="7"/>
        <v>1.782743690181654E-2</v>
      </c>
    </row>
    <row r="39" spans="1:9" x14ac:dyDescent="0.2">
      <c r="A39" s="39" t="s">
        <v>5</v>
      </c>
      <c r="B39" s="40">
        <v>48.252320183086312</v>
      </c>
      <c r="C39" s="40">
        <v>34.11</v>
      </c>
      <c r="D39" s="41">
        <v>-0.29309098773748832</v>
      </c>
      <c r="E39" s="22">
        <v>91.759999999999991</v>
      </c>
      <c r="F39" s="21">
        <f t="shared" si="4"/>
        <v>43.538213455390874</v>
      </c>
      <c r="G39">
        <f t="shared" si="5"/>
        <v>45.879999999999995</v>
      </c>
      <c r="H39" s="10">
        <f t="shared" si="6"/>
        <v>-0.21655030620516835</v>
      </c>
      <c r="I39" s="25">
        <f t="shared" si="7"/>
        <v>7.6540681532319965E-2</v>
      </c>
    </row>
    <row r="40" spans="1:9" x14ac:dyDescent="0.2">
      <c r="A40" s="39" t="s">
        <v>7</v>
      </c>
      <c r="B40" s="40">
        <v>0.33582892839980777</v>
      </c>
      <c r="C40" s="40">
        <v>0.39</v>
      </c>
      <c r="D40" s="41">
        <v>0.16130555476061015</v>
      </c>
      <c r="E40" s="22">
        <v>2081</v>
      </c>
      <c r="F40" s="21">
        <f t="shared" si="4"/>
        <v>0.35388595226653852</v>
      </c>
      <c r="G40">
        <f t="shared" si="5"/>
        <v>1040.5</v>
      </c>
      <c r="H40" s="10">
        <f t="shared" si="6"/>
        <v>0.10204996130013444</v>
      </c>
      <c r="I40" s="25">
        <f t="shared" si="7"/>
        <v>-5.9255593460475708E-2</v>
      </c>
    </row>
    <row r="41" spans="1:9" ht="17" thickBot="1" x14ac:dyDescent="0.25">
      <c r="A41" s="42" t="s">
        <v>12</v>
      </c>
      <c r="B41" s="43">
        <v>33.96</v>
      </c>
      <c r="C41" s="43">
        <v>32.72</v>
      </c>
      <c r="D41" s="44">
        <v>-3.6513545347467646E-2</v>
      </c>
      <c r="E41" s="22">
        <v>0.73623400000000006</v>
      </c>
      <c r="F41" s="21">
        <f t="shared" si="4"/>
        <v>33.546666666666667</v>
      </c>
      <c r="G41">
        <f t="shared" si="5"/>
        <v>0.36811700000000003</v>
      </c>
      <c r="H41" s="10">
        <f t="shared" si="6"/>
        <v>-2.4642289348171698E-2</v>
      </c>
      <c r="I41" s="25">
        <f t="shared" si="7"/>
        <v>1.1871255999295949E-2</v>
      </c>
    </row>
    <row r="45" spans="1:9" x14ac:dyDescent="0.2">
      <c r="A45" t="s">
        <v>66</v>
      </c>
    </row>
    <row r="46" spans="1:9" x14ac:dyDescent="0.2">
      <c r="A46" s="34" t="s">
        <v>61</v>
      </c>
      <c r="B46" s="10">
        <v>0.5</v>
      </c>
    </row>
    <row r="51" spans="1:6" x14ac:dyDescent="0.2">
      <c r="A51" t="s">
        <v>67</v>
      </c>
      <c r="F51" t="s">
        <v>68</v>
      </c>
    </row>
    <row r="52" spans="1:6" ht="17" thickBot="1" x14ac:dyDescent="0.25"/>
    <row r="53" spans="1:6" x14ac:dyDescent="0.2">
      <c r="A53" s="36" t="s">
        <v>17</v>
      </c>
      <c r="B53" s="37" t="s">
        <v>47</v>
      </c>
      <c r="C53" s="37" t="s">
        <v>24</v>
      </c>
      <c r="D53" s="38" t="s">
        <v>45</v>
      </c>
    </row>
    <row r="54" spans="1:6" x14ac:dyDescent="0.2">
      <c r="A54" s="39" t="s">
        <v>9</v>
      </c>
      <c r="B54" s="40">
        <v>127.98999999999998</v>
      </c>
      <c r="C54" s="40">
        <v>125.6</v>
      </c>
      <c r="D54" s="41">
        <v>-1.8673333854207219E-2</v>
      </c>
    </row>
    <row r="55" spans="1:6" x14ac:dyDescent="0.2">
      <c r="A55" s="39" t="s">
        <v>11</v>
      </c>
      <c r="B55" s="40">
        <v>99.096666666666664</v>
      </c>
      <c r="C55" s="40">
        <v>87.11</v>
      </c>
      <c r="D55" s="41">
        <v>-0.12095933263816472</v>
      </c>
    </row>
    <row r="56" spans="1:6" x14ac:dyDescent="0.2">
      <c r="A56" s="39" t="s">
        <v>6</v>
      </c>
      <c r="B56" s="40">
        <v>56219.22</v>
      </c>
      <c r="C56" s="40">
        <v>49000</v>
      </c>
      <c r="D56" s="41">
        <v>-0.1284119559111635</v>
      </c>
    </row>
    <row r="57" spans="1:6" x14ac:dyDescent="0.2">
      <c r="A57" s="39" t="s">
        <v>13</v>
      </c>
      <c r="B57" s="40">
        <v>44.26</v>
      </c>
      <c r="C57" s="40">
        <v>41.8</v>
      </c>
      <c r="D57" s="41">
        <v>-5.5580659737912375E-2</v>
      </c>
    </row>
    <row r="58" spans="1:6" x14ac:dyDescent="0.2">
      <c r="A58" s="39" t="s">
        <v>5</v>
      </c>
      <c r="B58" s="40">
        <v>48.252320183086312</v>
      </c>
      <c r="C58" s="40">
        <v>34.11</v>
      </c>
      <c r="D58" s="41">
        <v>-0.29309098773748832</v>
      </c>
    </row>
    <row r="59" spans="1:6" x14ac:dyDescent="0.2">
      <c r="A59" s="39" t="s">
        <v>7</v>
      </c>
      <c r="B59" s="40">
        <v>0.33582892839980777</v>
      </c>
      <c r="C59" s="40">
        <v>0.39</v>
      </c>
      <c r="D59" s="41">
        <v>0.16130555476061015</v>
      </c>
    </row>
    <row r="60" spans="1:6" ht="17" thickBot="1" x14ac:dyDescent="0.25">
      <c r="A60" s="42" t="s">
        <v>12</v>
      </c>
      <c r="B60" s="43">
        <v>33.96</v>
      </c>
      <c r="C60" s="43">
        <v>32.72</v>
      </c>
      <c r="D60" s="44">
        <v>-3.6513545347467646E-2</v>
      </c>
    </row>
  </sheetData>
  <conditionalFormatting sqref="F22:F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I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miao-stock-tracker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2021-05-13T20:13:49Z</dcterms:created>
  <dcterms:modified xsi:type="dcterms:W3CDTF">2021-05-14T01:14:18Z</dcterms:modified>
</cp:coreProperties>
</file>